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2AF90886-A700-49AB-A84E-838C66B97658}" xr6:coauthVersionLast="47" xr6:coauthVersionMax="47" xr10:uidLastSave="{00000000-0000-0000-0000-000000000000}"/>
  <bookViews>
    <workbookView xWindow="-28920" yWindow="-2835" windowWidth="29040" windowHeight="15840" firstSheet="5" activeTab="13" xr2:uid="{00000000-000D-0000-FFFF-FFFF00000000}"/>
  </bookViews>
  <sheets>
    <sheet name="Utilizzo Fondo 2022" sheetId="22" r:id="rId1"/>
    <sheet name="Tabelle CCNL" sheetId="28" r:id="rId2"/>
    <sheet name="Personale" sheetId="26" r:id="rId3"/>
    <sheet name="RIA" sheetId="32" r:id="rId4"/>
    <sheet name="Differenziali 2018" sheetId="25" r:id="rId5"/>
    <sheet name="Differenziali 2021" sheetId="24" r:id="rId6"/>
    <sheet name="Differenziali B3-D3" sheetId="27" r:id="rId7"/>
    <sheet name="MS 2018 T12" sheetId="29" r:id="rId8"/>
    <sheet name="MS 2018 T13" sheetId="30" r:id="rId9"/>
    <sheet name="Tabelle" sheetId="33" r:id="rId10"/>
    <sheet name="Stipendi" sheetId="31" r:id="rId11"/>
    <sheet name="PO" sheetId="34" r:id="rId12"/>
    <sheet name="Variazione personale" sheetId="38" r:id="rId13"/>
    <sheet name="Fondo 2023" sheetId="23" r:id="rId14"/>
  </sheets>
  <definedNames>
    <definedName name="_xlnm.Print_Titles" localSheetId="2">Personale!$1:$3</definedName>
    <definedName name="_xlnm.Print_Titles" localSheetId="0">'Utilizzo Fondo 2022'!$2:$2</definedName>
    <definedName name="_xlnm.Print_Titles" localSheetId="12">'Variazione personale'!$1:$3</definedName>
  </definedNames>
  <calcPr calcId="191029"/>
</workbook>
</file>

<file path=xl/calcChain.xml><?xml version="1.0" encoding="utf-8"?>
<calcChain xmlns="http://schemas.openxmlformats.org/spreadsheetml/2006/main">
  <c r="L7" i="38" l="1"/>
  <c r="L6" i="38"/>
  <c r="I8" i="38"/>
  <c r="I7" i="38"/>
  <c r="I6" i="38"/>
  <c r="L5" i="38"/>
  <c r="I5" i="38"/>
  <c r="L4" i="38"/>
  <c r="I4" i="38"/>
  <c r="F8" i="38"/>
  <c r="C8" i="38"/>
  <c r="K6" i="38"/>
  <c r="K5" i="38"/>
  <c r="K4" i="38"/>
  <c r="E6" i="38"/>
  <c r="E5" i="38"/>
  <c r="E4" i="38"/>
  <c r="L8" i="38" l="1"/>
  <c r="L10" i="38" s="1"/>
  <c r="C4" i="34"/>
  <c r="C5" i="34"/>
  <c r="C7" i="34"/>
  <c r="C8" i="34"/>
  <c r="C3" i="34"/>
  <c r="D9" i="34"/>
  <c r="E9" i="34"/>
  <c r="B9" i="34"/>
  <c r="O47" i="31"/>
  <c r="O25" i="31"/>
  <c r="O21" i="31"/>
  <c r="F10" i="38" l="1"/>
  <c r="D10" i="34"/>
  <c r="B50" i="22" s="1"/>
  <c r="D50" i="22" s="1"/>
  <c r="C9" i="34"/>
  <c r="B10" i="34"/>
  <c r="C55" i="23" s="1"/>
  <c r="P22" i="31"/>
  <c r="R22" i="31"/>
  <c r="S22" i="31"/>
  <c r="Q23" i="31"/>
  <c r="R23" i="31"/>
  <c r="S23" i="31"/>
  <c r="P24" i="31"/>
  <c r="Q24" i="31"/>
  <c r="R24" i="31"/>
  <c r="P25" i="31"/>
  <c r="R25" i="31"/>
  <c r="S25" i="31"/>
  <c r="P26" i="31"/>
  <c r="Q26" i="31"/>
  <c r="R26" i="31"/>
  <c r="P27" i="31"/>
  <c r="Q27" i="31"/>
  <c r="S27" i="31"/>
  <c r="P28" i="31"/>
  <c r="Q28" i="31"/>
  <c r="R28" i="31"/>
  <c r="P29" i="31"/>
  <c r="Q29" i="31"/>
  <c r="S29" i="31"/>
  <c r="P30" i="31"/>
  <c r="R30" i="31"/>
  <c r="S30" i="31"/>
  <c r="P31" i="31"/>
  <c r="R31" i="31"/>
  <c r="S31" i="31"/>
  <c r="P32" i="31"/>
  <c r="Q32" i="31"/>
  <c r="R32" i="31"/>
  <c r="Q33" i="31"/>
  <c r="R33" i="31"/>
  <c r="S33" i="31"/>
  <c r="P34" i="31"/>
  <c r="Q34" i="31"/>
  <c r="S34" i="31"/>
  <c r="Q35" i="31"/>
  <c r="R35" i="31"/>
  <c r="S35" i="31"/>
  <c r="Q36" i="31"/>
  <c r="R36" i="31"/>
  <c r="S36" i="31"/>
  <c r="P37" i="31"/>
  <c r="R37" i="31"/>
  <c r="S37" i="31"/>
  <c r="P38" i="31"/>
  <c r="Q38" i="31"/>
  <c r="R38" i="31"/>
  <c r="Q39" i="31"/>
  <c r="R39" i="31"/>
  <c r="S39" i="31"/>
  <c r="P40" i="31"/>
  <c r="R40" i="31"/>
  <c r="S40" i="31"/>
  <c r="P41" i="31"/>
  <c r="Q41" i="31"/>
  <c r="S41" i="31"/>
  <c r="P42" i="31"/>
  <c r="R42" i="31"/>
  <c r="S42" i="31"/>
  <c r="Q43" i="31"/>
  <c r="R43" i="31"/>
  <c r="S43" i="31"/>
  <c r="P44" i="31"/>
  <c r="R44" i="31"/>
  <c r="S44" i="31"/>
  <c r="P45" i="31"/>
  <c r="Q45" i="31"/>
  <c r="S45" i="31"/>
  <c r="P46" i="31"/>
  <c r="R46" i="31"/>
  <c r="S46" i="31"/>
  <c r="P47" i="31"/>
  <c r="Q47" i="31"/>
  <c r="S47" i="31"/>
  <c r="P48" i="31"/>
  <c r="Q48" i="31"/>
  <c r="S48" i="31"/>
  <c r="Q4" i="31"/>
  <c r="R4" i="31"/>
  <c r="S4" i="31"/>
  <c r="Q5" i="31"/>
  <c r="R5" i="31"/>
  <c r="S5" i="31"/>
  <c r="P6" i="31"/>
  <c r="Q6" i="31"/>
  <c r="S6" i="31"/>
  <c r="Q7" i="31"/>
  <c r="R7" i="31"/>
  <c r="S7" i="31"/>
  <c r="P8" i="31"/>
  <c r="Q8" i="31"/>
  <c r="S8" i="31"/>
  <c r="P9" i="31"/>
  <c r="R9" i="31"/>
  <c r="S9" i="31"/>
  <c r="P10" i="31"/>
  <c r="R10" i="31"/>
  <c r="S10" i="31"/>
  <c r="P11" i="31"/>
  <c r="Q11" i="31"/>
  <c r="S11" i="31"/>
  <c r="P12" i="31"/>
  <c r="Q12" i="31"/>
  <c r="S12" i="31"/>
  <c r="P13" i="31"/>
  <c r="Q13" i="31"/>
  <c r="S13" i="31"/>
  <c r="P14" i="31"/>
  <c r="Q14" i="31"/>
  <c r="S14" i="31"/>
  <c r="Q15" i="31"/>
  <c r="R15" i="31"/>
  <c r="S15" i="31"/>
  <c r="P16" i="31"/>
  <c r="R16" i="31"/>
  <c r="S16" i="31"/>
  <c r="Q17" i="31"/>
  <c r="R17" i="31"/>
  <c r="S17" i="31"/>
  <c r="Q18" i="31"/>
  <c r="R18" i="31"/>
  <c r="S18" i="31"/>
  <c r="P19" i="31"/>
  <c r="Q19" i="31"/>
  <c r="S19" i="31"/>
  <c r="Q20" i="31"/>
  <c r="R20" i="31"/>
  <c r="S20" i="31"/>
  <c r="P21" i="31"/>
  <c r="Q21" i="31"/>
  <c r="S21" i="31"/>
  <c r="O49" i="31"/>
  <c r="R3" i="31"/>
  <c r="Q3" i="31"/>
  <c r="P3" i="31"/>
  <c r="D53" i="23" l="1"/>
  <c r="D39" i="23"/>
  <c r="V46" i="31"/>
  <c r="V44" i="31"/>
  <c r="V43" i="31"/>
  <c r="V39" i="31"/>
  <c r="V37" i="31"/>
  <c r="V36" i="31"/>
  <c r="V35" i="31"/>
  <c r="V33" i="31"/>
  <c r="V30" i="31"/>
  <c r="V23" i="31"/>
  <c r="V20" i="31"/>
  <c r="V18" i="31"/>
  <c r="V17" i="31"/>
  <c r="V16" i="31"/>
  <c r="V15" i="31"/>
  <c r="V10" i="31"/>
  <c r="V7" i="31"/>
  <c r="V5" i="31"/>
  <c r="V4" i="31"/>
  <c r="B286" i="33"/>
  <c r="V21" i="31" s="1"/>
  <c r="B285" i="33"/>
  <c r="K6" i="31"/>
  <c r="K28" i="31"/>
  <c r="K38" i="31"/>
  <c r="K19" i="31"/>
  <c r="K12" i="31"/>
  <c r="K33" i="31"/>
  <c r="K15" i="31"/>
  <c r="K17" i="31"/>
  <c r="K18" i="31"/>
  <c r="K35" i="31"/>
  <c r="K36" i="31"/>
  <c r="K26" i="31"/>
  <c r="K8" i="31"/>
  <c r="K3" i="31"/>
  <c r="K14" i="31"/>
  <c r="K34" i="31"/>
  <c r="K41" i="31"/>
  <c r="K13" i="31"/>
  <c r="K23" i="31"/>
  <c r="K5" i="31"/>
  <c r="K39" i="31"/>
  <c r="K20" i="31"/>
  <c r="K4" i="31"/>
  <c r="K47" i="31"/>
  <c r="K29" i="31"/>
  <c r="K24" i="31"/>
  <c r="K43" i="31"/>
  <c r="K27" i="31"/>
  <c r="K45" i="31"/>
  <c r="K11" i="31"/>
  <c r="K21" i="31"/>
  <c r="K32" i="31"/>
  <c r="K7" i="31"/>
  <c r="K48" i="31"/>
  <c r="W25" i="31"/>
  <c r="Y25" i="31" s="1"/>
  <c r="M25" i="31"/>
  <c r="L25" i="31"/>
  <c r="J25" i="31"/>
  <c r="W37" i="31"/>
  <c r="Y37" i="31" s="1"/>
  <c r="M37" i="31"/>
  <c r="L37" i="31"/>
  <c r="J37" i="31"/>
  <c r="W7" i="31"/>
  <c r="Y7" i="31" s="1"/>
  <c r="M7" i="31"/>
  <c r="L7" i="31"/>
  <c r="W32" i="31"/>
  <c r="Y32" i="31" s="1"/>
  <c r="L32" i="31"/>
  <c r="J32" i="31"/>
  <c r="W21" i="31"/>
  <c r="Y21" i="31" s="1"/>
  <c r="M21" i="31"/>
  <c r="J21" i="31"/>
  <c r="W11" i="31"/>
  <c r="Y11" i="31" s="1"/>
  <c r="M11" i="31"/>
  <c r="J11" i="31"/>
  <c r="W45" i="31"/>
  <c r="Y45" i="31" s="1"/>
  <c r="M45" i="31"/>
  <c r="J45" i="31"/>
  <c r="W27" i="31"/>
  <c r="Y27" i="31" s="1"/>
  <c r="M27" i="31"/>
  <c r="J27" i="31"/>
  <c r="W43" i="31"/>
  <c r="Y43" i="31" s="1"/>
  <c r="M43" i="31"/>
  <c r="L43" i="31"/>
  <c r="W24" i="31"/>
  <c r="Y24" i="31" s="1"/>
  <c r="L24" i="31"/>
  <c r="J24" i="31"/>
  <c r="W29" i="31"/>
  <c r="Y29" i="31" s="1"/>
  <c r="M29" i="31"/>
  <c r="J29" i="31"/>
  <c r="W47" i="31"/>
  <c r="Y47" i="31" s="1"/>
  <c r="M47" i="31"/>
  <c r="J47" i="31"/>
  <c r="W4" i="31"/>
  <c r="Y4" i="31" s="1"/>
  <c r="M4" i="31"/>
  <c r="L4" i="31"/>
  <c r="W20" i="31"/>
  <c r="Y20" i="31" s="1"/>
  <c r="M20" i="31"/>
  <c r="L20" i="31"/>
  <c r="W39" i="31"/>
  <c r="Y39" i="31" s="1"/>
  <c r="M39" i="31"/>
  <c r="L39" i="31"/>
  <c r="W5" i="31"/>
  <c r="Y5" i="31" s="1"/>
  <c r="M5" i="31"/>
  <c r="L5" i="31"/>
  <c r="W23" i="31"/>
  <c r="Y23" i="31" s="1"/>
  <c r="M23" i="31"/>
  <c r="L23" i="31"/>
  <c r="W40" i="31"/>
  <c r="Y40" i="31" s="1"/>
  <c r="M40" i="31"/>
  <c r="L40" i="31"/>
  <c r="J40" i="31"/>
  <c r="W13" i="31"/>
  <c r="Y13" i="31" s="1"/>
  <c r="M13" i="31"/>
  <c r="J13" i="31"/>
  <c r="W41" i="31"/>
  <c r="Y41" i="31" s="1"/>
  <c r="M41" i="31"/>
  <c r="J41" i="31"/>
  <c r="W34" i="31"/>
  <c r="Y34" i="31" s="1"/>
  <c r="M34" i="31"/>
  <c r="J34" i="31"/>
  <c r="W46" i="31"/>
  <c r="Y46" i="31" s="1"/>
  <c r="M46" i="31"/>
  <c r="L46" i="31"/>
  <c r="J46" i="31"/>
  <c r="W44" i="31"/>
  <c r="Y44" i="31" s="1"/>
  <c r="M44" i="31"/>
  <c r="L44" i="31"/>
  <c r="J44" i="31"/>
  <c r="W14" i="31"/>
  <c r="Y14" i="31" s="1"/>
  <c r="M14" i="31"/>
  <c r="J14" i="31"/>
  <c r="W3" i="31"/>
  <c r="Y3" i="31" s="1"/>
  <c r="L3" i="31"/>
  <c r="J3" i="31"/>
  <c r="W8" i="31"/>
  <c r="Y8" i="31" s="1"/>
  <c r="M8" i="31"/>
  <c r="J8" i="31"/>
  <c r="W22" i="31"/>
  <c r="Y22" i="31" s="1"/>
  <c r="M22" i="31"/>
  <c r="L22" i="31"/>
  <c r="J22" i="31"/>
  <c r="W31" i="31"/>
  <c r="Y31" i="31" s="1"/>
  <c r="M31" i="31"/>
  <c r="L31" i="31"/>
  <c r="J31" i="31"/>
  <c r="W9" i="31"/>
  <c r="Y9" i="31" s="1"/>
  <c r="M9" i="31"/>
  <c r="L9" i="31"/>
  <c r="J9" i="31"/>
  <c r="W26" i="31"/>
  <c r="Y26" i="31" s="1"/>
  <c r="L26" i="31"/>
  <c r="J26" i="31"/>
  <c r="W36" i="31"/>
  <c r="Y36" i="31" s="1"/>
  <c r="M36" i="31"/>
  <c r="L36" i="31"/>
  <c r="W42" i="31"/>
  <c r="Y42" i="31" s="1"/>
  <c r="M42" i="31"/>
  <c r="L42" i="31"/>
  <c r="J42" i="31"/>
  <c r="W35" i="31"/>
  <c r="Y35" i="31" s="1"/>
  <c r="M35" i="31"/>
  <c r="L35" i="31"/>
  <c r="W30" i="31"/>
  <c r="Y30" i="31" s="1"/>
  <c r="M30" i="31"/>
  <c r="L30" i="31"/>
  <c r="J30" i="31"/>
  <c r="W18" i="31"/>
  <c r="Y18" i="31" s="1"/>
  <c r="M18" i="31"/>
  <c r="L18" i="31"/>
  <c r="W17" i="31"/>
  <c r="Y17" i="31" s="1"/>
  <c r="M17" i="31"/>
  <c r="L17" i="31"/>
  <c r="W15" i="31"/>
  <c r="Y15" i="31" s="1"/>
  <c r="M15" i="31"/>
  <c r="L15" i="31"/>
  <c r="W33" i="31"/>
  <c r="Y33" i="31" s="1"/>
  <c r="M33" i="31"/>
  <c r="L33" i="31"/>
  <c r="W10" i="31"/>
  <c r="Y10" i="31" s="1"/>
  <c r="M10" i="31"/>
  <c r="L10" i="31"/>
  <c r="J10" i="31"/>
  <c r="W16" i="31"/>
  <c r="Y16" i="31" s="1"/>
  <c r="M16" i="31"/>
  <c r="L16" i="31"/>
  <c r="J16" i="31"/>
  <c r="W12" i="31"/>
  <c r="Y12" i="31" s="1"/>
  <c r="M12" i="31"/>
  <c r="J12" i="31"/>
  <c r="W19" i="31"/>
  <c r="Y19" i="31" s="1"/>
  <c r="M19" i="31"/>
  <c r="J19" i="31"/>
  <c r="W38" i="31"/>
  <c r="Y38" i="31" s="1"/>
  <c r="L38" i="31"/>
  <c r="J38" i="31"/>
  <c r="W28" i="31"/>
  <c r="Y28" i="31" s="1"/>
  <c r="L28" i="31"/>
  <c r="J28" i="31"/>
  <c r="W6" i="31"/>
  <c r="Y6" i="31" s="1"/>
  <c r="M6" i="31"/>
  <c r="J6" i="31"/>
  <c r="V8" i="31" l="1"/>
  <c r="V29" i="31"/>
  <c r="V32" i="31"/>
  <c r="V27" i="31"/>
  <c r="W48" i="31"/>
  <c r="Y48" i="31" s="1"/>
  <c r="M48" i="31"/>
  <c r="J48" i="31"/>
  <c r="B49" i="31"/>
  <c r="D280" i="33"/>
  <c r="C280" i="33" s="1"/>
  <c r="D279" i="33"/>
  <c r="C279" i="33" s="1"/>
  <c r="D277" i="33"/>
  <c r="C277" i="33" s="1"/>
  <c r="D276" i="33"/>
  <c r="C276" i="33" s="1"/>
  <c r="D268" i="33"/>
  <c r="C268" i="33"/>
  <c r="I267" i="33"/>
  <c r="H267" i="33"/>
  <c r="D267" i="33"/>
  <c r="C267" i="33"/>
  <c r="I266" i="33"/>
  <c r="H266" i="33"/>
  <c r="D266" i="33"/>
  <c r="C266" i="33"/>
  <c r="I265" i="33"/>
  <c r="H265" i="33"/>
  <c r="D265" i="33"/>
  <c r="C265" i="33"/>
  <c r="I264" i="33"/>
  <c r="H264" i="33"/>
  <c r="D264" i="33"/>
  <c r="C264" i="33"/>
  <c r="I263" i="33"/>
  <c r="H263" i="33"/>
  <c r="D263" i="33"/>
  <c r="C263" i="33"/>
  <c r="I262" i="33"/>
  <c r="H262" i="33"/>
  <c r="D262" i="33"/>
  <c r="C262" i="33"/>
  <c r="I261" i="33"/>
  <c r="H261" i="33"/>
  <c r="D261" i="33"/>
  <c r="C261" i="33"/>
  <c r="I260" i="33"/>
  <c r="H260" i="33"/>
  <c r="D260" i="33"/>
  <c r="C260" i="33"/>
  <c r="I259" i="33"/>
  <c r="H259" i="33"/>
  <c r="D259" i="33"/>
  <c r="C259" i="33"/>
  <c r="I258" i="33"/>
  <c r="H258" i="33"/>
  <c r="D258" i="33"/>
  <c r="C258" i="33"/>
  <c r="I257" i="33"/>
  <c r="H257" i="33"/>
  <c r="D257" i="33"/>
  <c r="C257" i="33"/>
  <c r="I256" i="33"/>
  <c r="H256" i="33"/>
  <c r="D256" i="33"/>
  <c r="C256" i="33"/>
  <c r="I255" i="33"/>
  <c r="H255" i="33"/>
  <c r="D255" i="33"/>
  <c r="C255" i="33"/>
  <c r="C226" i="33"/>
  <c r="H225" i="33"/>
  <c r="C225" i="33"/>
  <c r="E225" i="33" s="1"/>
  <c r="H224" i="33"/>
  <c r="C224" i="33"/>
  <c r="E224" i="33" s="1"/>
  <c r="H223" i="33"/>
  <c r="C223" i="33"/>
  <c r="E223" i="33" s="1"/>
  <c r="H222" i="33"/>
  <c r="C222" i="33"/>
  <c r="E222" i="33" s="1"/>
  <c r="H221" i="33"/>
  <c r="C221" i="33"/>
  <c r="E221" i="33" s="1"/>
  <c r="H220" i="33"/>
  <c r="C220" i="33"/>
  <c r="E220" i="33" s="1"/>
  <c r="H219" i="33"/>
  <c r="C219" i="33"/>
  <c r="E219" i="33" s="1"/>
  <c r="H218" i="33"/>
  <c r="C218" i="33"/>
  <c r="E218" i="33" s="1"/>
  <c r="H217" i="33"/>
  <c r="C217" i="33"/>
  <c r="E217" i="33" s="1"/>
  <c r="H216" i="33"/>
  <c r="C216" i="33"/>
  <c r="E216" i="33" s="1"/>
  <c r="H215" i="33"/>
  <c r="C215" i="33"/>
  <c r="E215" i="33" s="1"/>
  <c r="H214" i="33"/>
  <c r="C214" i="33"/>
  <c r="E214" i="33" s="1"/>
  <c r="H213" i="33"/>
  <c r="C213" i="33"/>
  <c r="E213" i="33" s="1"/>
  <c r="D207" i="33"/>
  <c r="C207" i="33"/>
  <c r="I206" i="33"/>
  <c r="H206" i="33"/>
  <c r="D206" i="33"/>
  <c r="C206" i="33"/>
  <c r="I205" i="33"/>
  <c r="H205" i="33"/>
  <c r="D205" i="33"/>
  <c r="C205" i="33"/>
  <c r="I204" i="33"/>
  <c r="H204" i="33"/>
  <c r="D204" i="33"/>
  <c r="C204" i="33"/>
  <c r="I203" i="33"/>
  <c r="H203" i="33"/>
  <c r="D203" i="33"/>
  <c r="C203" i="33"/>
  <c r="I202" i="33"/>
  <c r="H202" i="33"/>
  <c r="D202" i="33"/>
  <c r="C202" i="33"/>
  <c r="I201" i="33"/>
  <c r="H201" i="33"/>
  <c r="D201" i="33"/>
  <c r="C201" i="33"/>
  <c r="I200" i="33"/>
  <c r="H200" i="33"/>
  <c r="D200" i="33"/>
  <c r="C200" i="33"/>
  <c r="I199" i="33"/>
  <c r="H199" i="33"/>
  <c r="D199" i="33"/>
  <c r="C199" i="33"/>
  <c r="I198" i="33"/>
  <c r="H198" i="33"/>
  <c r="D198" i="33"/>
  <c r="C198" i="33"/>
  <c r="I197" i="33"/>
  <c r="H197" i="33"/>
  <c r="D197" i="33"/>
  <c r="C197" i="33"/>
  <c r="I196" i="33"/>
  <c r="H196" i="33"/>
  <c r="D196" i="33"/>
  <c r="C196" i="33"/>
  <c r="I195" i="33"/>
  <c r="H195" i="33"/>
  <c r="D195" i="33"/>
  <c r="C195" i="33"/>
  <c r="I194" i="33"/>
  <c r="H194" i="33"/>
  <c r="D194" i="33"/>
  <c r="C194" i="33"/>
  <c r="E185" i="33"/>
  <c r="D185" i="33"/>
  <c r="I184" i="33"/>
  <c r="E184" i="33"/>
  <c r="D184" i="33"/>
  <c r="I183" i="33"/>
  <c r="E183" i="33"/>
  <c r="D183" i="33"/>
  <c r="I182" i="33"/>
  <c r="E182" i="33"/>
  <c r="D182" i="33"/>
  <c r="I181" i="33"/>
  <c r="E181" i="33"/>
  <c r="D181" i="33"/>
  <c r="I180" i="33"/>
  <c r="D180" i="33"/>
  <c r="I179" i="33"/>
  <c r="D179" i="33"/>
  <c r="I177" i="33"/>
  <c r="D177" i="33"/>
  <c r="I176" i="33"/>
  <c r="D176" i="33"/>
  <c r="I175" i="33"/>
  <c r="D175" i="33"/>
  <c r="I174" i="33"/>
  <c r="D174" i="33"/>
  <c r="I173" i="33"/>
  <c r="D173" i="33"/>
  <c r="E164" i="33"/>
  <c r="D164" i="33"/>
  <c r="J163" i="33"/>
  <c r="I163" i="33"/>
  <c r="E163" i="33"/>
  <c r="D163" i="33"/>
  <c r="J162" i="33"/>
  <c r="I162" i="33"/>
  <c r="E162" i="33"/>
  <c r="D162" i="33"/>
  <c r="J161" i="33"/>
  <c r="I161" i="33"/>
  <c r="E161" i="33"/>
  <c r="D161" i="33"/>
  <c r="J160" i="33"/>
  <c r="I160" i="33"/>
  <c r="E160" i="33"/>
  <c r="D160" i="33"/>
  <c r="I159" i="33"/>
  <c r="D159" i="33"/>
  <c r="I158" i="33"/>
  <c r="D158" i="33"/>
  <c r="I156" i="33"/>
  <c r="D156" i="33"/>
  <c r="I155" i="33"/>
  <c r="D155" i="33"/>
  <c r="I154" i="33"/>
  <c r="D154" i="33"/>
  <c r="I153" i="33"/>
  <c r="D153" i="33"/>
  <c r="I152" i="33"/>
  <c r="D152" i="33"/>
  <c r="E143" i="33"/>
  <c r="D143" i="33"/>
  <c r="J142" i="33"/>
  <c r="I142" i="33"/>
  <c r="E142" i="33"/>
  <c r="D142" i="33"/>
  <c r="J141" i="33"/>
  <c r="I141" i="33"/>
  <c r="E141" i="33"/>
  <c r="D141" i="33"/>
  <c r="J140" i="33"/>
  <c r="I140" i="33"/>
  <c r="E140" i="33"/>
  <c r="D140" i="33"/>
  <c r="J139" i="33"/>
  <c r="I139" i="33"/>
  <c r="E139" i="33"/>
  <c r="D139" i="33"/>
  <c r="I138" i="33"/>
  <c r="D138" i="33"/>
  <c r="I137" i="33"/>
  <c r="D137" i="33"/>
  <c r="I135" i="33"/>
  <c r="D135" i="33"/>
  <c r="I134" i="33"/>
  <c r="D134" i="33"/>
  <c r="I133" i="33"/>
  <c r="D133" i="33"/>
  <c r="I132" i="33"/>
  <c r="D132" i="33"/>
  <c r="I131" i="33"/>
  <c r="D131" i="33"/>
  <c r="C122" i="33"/>
  <c r="D122" i="33" s="1"/>
  <c r="H121" i="33"/>
  <c r="C121" i="33"/>
  <c r="H120" i="33"/>
  <c r="C120" i="33"/>
  <c r="D120" i="33" s="1"/>
  <c r="H119" i="33"/>
  <c r="C119" i="33"/>
  <c r="H118" i="33"/>
  <c r="C118" i="33"/>
  <c r="H117" i="33"/>
  <c r="C117" i="33"/>
  <c r="D117" i="33" s="1"/>
  <c r="H116" i="33"/>
  <c r="C116" i="33"/>
  <c r="D116" i="33" s="1"/>
  <c r="H115" i="33"/>
  <c r="I117" i="33" s="1"/>
  <c r="C115" i="33"/>
  <c r="H114" i="33"/>
  <c r="C114" i="33"/>
  <c r="H113" i="33"/>
  <c r="C113" i="33"/>
  <c r="H112" i="33"/>
  <c r="C112" i="33"/>
  <c r="H111" i="33"/>
  <c r="C111" i="33"/>
  <c r="H110" i="33"/>
  <c r="C110" i="33"/>
  <c r="H109" i="33"/>
  <c r="C109" i="33"/>
  <c r="D113" i="33" s="1"/>
  <c r="F102" i="33"/>
  <c r="E102" i="33"/>
  <c r="D102" i="33"/>
  <c r="C102" i="33"/>
  <c r="K101" i="33"/>
  <c r="J101" i="33"/>
  <c r="I101" i="33"/>
  <c r="H101" i="33"/>
  <c r="F101" i="33"/>
  <c r="E101" i="33"/>
  <c r="D101" i="33"/>
  <c r="C101" i="33"/>
  <c r="K100" i="33"/>
  <c r="J100" i="33"/>
  <c r="I100" i="33"/>
  <c r="H100" i="33"/>
  <c r="F100" i="33"/>
  <c r="E100" i="33"/>
  <c r="D100" i="33"/>
  <c r="C100" i="33"/>
  <c r="K99" i="33"/>
  <c r="J99" i="33"/>
  <c r="I99" i="33"/>
  <c r="H99" i="33"/>
  <c r="F99" i="33"/>
  <c r="E99" i="33"/>
  <c r="D99" i="33"/>
  <c r="C99" i="33"/>
  <c r="K98" i="33"/>
  <c r="J98" i="33"/>
  <c r="I98" i="33"/>
  <c r="H98" i="33"/>
  <c r="F98" i="33"/>
  <c r="E98" i="33"/>
  <c r="D98" i="33"/>
  <c r="C98" i="33"/>
  <c r="K97" i="33"/>
  <c r="J97" i="33"/>
  <c r="I97" i="33"/>
  <c r="H97" i="33"/>
  <c r="F97" i="33"/>
  <c r="E97" i="33"/>
  <c r="D97" i="33"/>
  <c r="C97" i="33"/>
  <c r="K96" i="33"/>
  <c r="J96" i="33"/>
  <c r="I96" i="33"/>
  <c r="H96" i="33"/>
  <c r="F96" i="33"/>
  <c r="E96" i="33"/>
  <c r="D96" i="33"/>
  <c r="C96" i="33"/>
  <c r="K95" i="33"/>
  <c r="J95" i="33"/>
  <c r="I95" i="33"/>
  <c r="H95" i="33"/>
  <c r="F95" i="33"/>
  <c r="E95" i="33"/>
  <c r="D95" i="33"/>
  <c r="C95" i="33"/>
  <c r="K94" i="33"/>
  <c r="J94" i="33"/>
  <c r="I94" i="33"/>
  <c r="H94" i="33"/>
  <c r="F94" i="33"/>
  <c r="E94" i="33"/>
  <c r="D94" i="33"/>
  <c r="C94" i="33"/>
  <c r="K93" i="33"/>
  <c r="J93" i="33"/>
  <c r="I93" i="33"/>
  <c r="H93" i="33"/>
  <c r="F93" i="33"/>
  <c r="E93" i="33"/>
  <c r="D93" i="33"/>
  <c r="C93" i="33"/>
  <c r="K92" i="33"/>
  <c r="J92" i="33"/>
  <c r="I92" i="33"/>
  <c r="H92" i="33"/>
  <c r="F92" i="33"/>
  <c r="E92" i="33"/>
  <c r="D92" i="33"/>
  <c r="C92" i="33"/>
  <c r="K91" i="33"/>
  <c r="J91" i="33"/>
  <c r="I91" i="33"/>
  <c r="H91" i="33"/>
  <c r="F91" i="33"/>
  <c r="E91" i="33"/>
  <c r="D91" i="33"/>
  <c r="C91" i="33"/>
  <c r="K90" i="33"/>
  <c r="J90" i="33"/>
  <c r="I90" i="33"/>
  <c r="H90" i="33"/>
  <c r="F90" i="33"/>
  <c r="E90" i="33"/>
  <c r="D90" i="33"/>
  <c r="C90" i="33"/>
  <c r="K89" i="33"/>
  <c r="J89" i="33"/>
  <c r="I89" i="33"/>
  <c r="H89" i="33"/>
  <c r="F89" i="33"/>
  <c r="E89" i="33"/>
  <c r="D89" i="33"/>
  <c r="C89" i="33"/>
  <c r="E80" i="33"/>
  <c r="D80" i="33"/>
  <c r="J79" i="33"/>
  <c r="I79" i="33"/>
  <c r="E79" i="33"/>
  <c r="D79" i="33"/>
  <c r="J78" i="33"/>
  <c r="I78" i="33"/>
  <c r="E78" i="33"/>
  <c r="D78" i="33"/>
  <c r="J77" i="33"/>
  <c r="I77" i="33"/>
  <c r="E77" i="33"/>
  <c r="D77" i="33"/>
  <c r="J76" i="33"/>
  <c r="I76" i="33"/>
  <c r="E76" i="33"/>
  <c r="D76" i="33"/>
  <c r="I75" i="33"/>
  <c r="D75" i="33"/>
  <c r="I74" i="33"/>
  <c r="D74" i="33"/>
  <c r="I72" i="33"/>
  <c r="D72" i="33"/>
  <c r="I71" i="33"/>
  <c r="D71" i="33"/>
  <c r="I70" i="33"/>
  <c r="D70" i="33"/>
  <c r="I69" i="33"/>
  <c r="D69" i="33"/>
  <c r="I68" i="33"/>
  <c r="D68" i="33"/>
  <c r="J47" i="33"/>
  <c r="H47" i="33"/>
  <c r="F47" i="33"/>
  <c r="C47" i="33"/>
  <c r="B47" i="33"/>
  <c r="I45" i="33"/>
  <c r="I46" i="33" s="1"/>
  <c r="I49" i="33" s="1"/>
  <c r="G45" i="33"/>
  <c r="G46" i="33" s="1"/>
  <c r="G49" i="33" s="1"/>
  <c r="E45" i="33"/>
  <c r="F45" i="33" s="1"/>
  <c r="D45" i="33"/>
  <c r="C45" i="33"/>
  <c r="C46" i="33" s="1"/>
  <c r="C49" i="33" s="1"/>
  <c r="B45" i="33"/>
  <c r="E38" i="33"/>
  <c r="D38" i="33"/>
  <c r="J37" i="33"/>
  <c r="I37" i="33"/>
  <c r="E37" i="33"/>
  <c r="D37" i="33"/>
  <c r="J36" i="33"/>
  <c r="I36" i="33"/>
  <c r="E36" i="33"/>
  <c r="D36" i="33"/>
  <c r="J35" i="33"/>
  <c r="I35" i="33"/>
  <c r="E35" i="33"/>
  <c r="D35" i="33"/>
  <c r="I34" i="33"/>
  <c r="D34" i="33"/>
  <c r="I33" i="33"/>
  <c r="D33" i="33"/>
  <c r="I31" i="33"/>
  <c r="D31" i="33"/>
  <c r="I30" i="33"/>
  <c r="D30" i="33"/>
  <c r="I29" i="33"/>
  <c r="D29" i="33"/>
  <c r="I28" i="33"/>
  <c r="D28" i="33"/>
  <c r="J6" i="33"/>
  <c r="H6" i="33"/>
  <c r="F6" i="33"/>
  <c r="C6" i="33"/>
  <c r="B6" i="33"/>
  <c r="I5" i="33"/>
  <c r="I11" i="33" s="1"/>
  <c r="G5" i="33"/>
  <c r="G11" i="33" s="1"/>
  <c r="E5" i="33"/>
  <c r="E11" i="33" s="1"/>
  <c r="D5" i="33"/>
  <c r="D11" i="33" s="1"/>
  <c r="C5" i="33"/>
  <c r="C11" i="33" s="1"/>
  <c r="B5" i="33"/>
  <c r="B11" i="33" s="1"/>
  <c r="J4" i="33"/>
  <c r="H4" i="33"/>
  <c r="F4" i="33"/>
  <c r="D118" i="33" l="1"/>
  <c r="E46" i="33"/>
  <c r="E49" i="33" s="1"/>
  <c r="E51" i="33" s="1"/>
  <c r="H45" i="33"/>
  <c r="J45" i="33"/>
  <c r="J46" i="33" s="1"/>
  <c r="J49" i="33" s="1"/>
  <c r="D110" i="33"/>
  <c r="D112" i="33"/>
  <c r="D114" i="33"/>
  <c r="X43" i="31"/>
  <c r="Z43" i="31" s="1"/>
  <c r="X36" i="31"/>
  <c r="Z36" i="31" s="1"/>
  <c r="X18" i="31"/>
  <c r="Z18" i="31" s="1"/>
  <c r="X17" i="31"/>
  <c r="Z17" i="31" s="1"/>
  <c r="X15" i="31"/>
  <c r="Z15" i="31" s="1"/>
  <c r="X33" i="31"/>
  <c r="Z33" i="31" s="1"/>
  <c r="X7" i="31"/>
  <c r="Z7" i="31" s="1"/>
  <c r="X4" i="31"/>
  <c r="Z4" i="31" s="1"/>
  <c r="X20" i="31"/>
  <c r="Z20" i="31" s="1"/>
  <c r="X39" i="31"/>
  <c r="Z39" i="31" s="1"/>
  <c r="X5" i="31"/>
  <c r="Z5" i="31" s="1"/>
  <c r="X23" i="31"/>
  <c r="Z23" i="31" s="1"/>
  <c r="X35" i="31"/>
  <c r="Z35" i="31" s="1"/>
  <c r="X21" i="31"/>
  <c r="Z21" i="31" s="1"/>
  <c r="X45" i="31"/>
  <c r="Z45" i="31" s="1"/>
  <c r="X47" i="31"/>
  <c r="Z47" i="31" s="1"/>
  <c r="X13" i="31"/>
  <c r="Z13" i="31" s="1"/>
  <c r="X34" i="31"/>
  <c r="Z34" i="31" s="1"/>
  <c r="X12" i="31"/>
  <c r="Z12" i="31" s="1"/>
  <c r="X11" i="31"/>
  <c r="Z11" i="31" s="1"/>
  <c r="X27" i="31"/>
  <c r="Z27" i="31" s="1"/>
  <c r="X29" i="31"/>
  <c r="Z29" i="31" s="1"/>
  <c r="X41" i="31"/>
  <c r="Z41" i="31" s="1"/>
  <c r="X14" i="31"/>
  <c r="Z14" i="31" s="1"/>
  <c r="X8" i="31"/>
  <c r="Z8" i="31" s="1"/>
  <c r="X6" i="31"/>
  <c r="Z6" i="31" s="1"/>
  <c r="X19" i="31"/>
  <c r="Z19" i="31" s="1"/>
  <c r="X48" i="31"/>
  <c r="X37" i="31"/>
  <c r="Z37" i="31" s="1"/>
  <c r="X44" i="31"/>
  <c r="Z44" i="31" s="1"/>
  <c r="X22" i="31"/>
  <c r="Z22" i="31" s="1"/>
  <c r="X9" i="31"/>
  <c r="Z9" i="31" s="1"/>
  <c r="X42" i="31"/>
  <c r="Z42" i="31" s="1"/>
  <c r="X10" i="31"/>
  <c r="Z10" i="31" s="1"/>
  <c r="X25" i="31"/>
  <c r="Z25" i="31" s="1"/>
  <c r="X40" i="31"/>
  <c r="Z40" i="31" s="1"/>
  <c r="X46" i="31"/>
  <c r="Z46" i="31" s="1"/>
  <c r="X31" i="31"/>
  <c r="Z31" i="31" s="1"/>
  <c r="X30" i="31"/>
  <c r="Z30" i="31" s="1"/>
  <c r="X16" i="31"/>
  <c r="Z16" i="31" s="1"/>
  <c r="X24" i="31"/>
  <c r="Z24" i="31" s="1"/>
  <c r="X3" i="31"/>
  <c r="X32" i="31"/>
  <c r="Z32" i="31" s="1"/>
  <c r="X26" i="31"/>
  <c r="Z26" i="31" s="1"/>
  <c r="X38" i="31"/>
  <c r="Z38" i="31" s="1"/>
  <c r="X28" i="31"/>
  <c r="Z28" i="31" s="1"/>
  <c r="D111" i="33"/>
  <c r="E119" i="33"/>
  <c r="I119" i="33"/>
  <c r="E121" i="33"/>
  <c r="I121" i="33"/>
  <c r="J213" i="33"/>
  <c r="J214" i="33"/>
  <c r="J215" i="33"/>
  <c r="J216" i="33"/>
  <c r="J217" i="33"/>
  <c r="J218" i="33"/>
  <c r="J219" i="33"/>
  <c r="J220" i="33"/>
  <c r="J221" i="33"/>
  <c r="J222" i="33"/>
  <c r="J223" i="33"/>
  <c r="J224" i="33"/>
  <c r="J225" i="33"/>
  <c r="J255" i="33"/>
  <c r="J257" i="33"/>
  <c r="J259" i="33"/>
  <c r="J261" i="33"/>
  <c r="J263" i="33"/>
  <c r="J265" i="33"/>
  <c r="J267" i="33"/>
  <c r="I114" i="33"/>
  <c r="E118" i="33"/>
  <c r="I118" i="33"/>
  <c r="D119" i="33"/>
  <c r="E120" i="33"/>
  <c r="I120" i="33"/>
  <c r="D121" i="33"/>
  <c r="E122" i="33"/>
  <c r="F255" i="33"/>
  <c r="C235" i="33"/>
  <c r="G7" i="31"/>
  <c r="G43" i="31"/>
  <c r="I43" i="31" s="1"/>
  <c r="G4" i="31"/>
  <c r="G20" i="31"/>
  <c r="G39" i="31"/>
  <c r="G5" i="31"/>
  <c r="I5" i="31" s="1"/>
  <c r="G23" i="31"/>
  <c r="G36" i="31"/>
  <c r="G35" i="31"/>
  <c r="G18" i="31"/>
  <c r="G17" i="31"/>
  <c r="G15" i="31"/>
  <c r="G33" i="31"/>
  <c r="J35" i="31"/>
  <c r="J36" i="31"/>
  <c r="J18" i="31"/>
  <c r="J17" i="31"/>
  <c r="J33" i="31"/>
  <c r="J15" i="31"/>
  <c r="F256" i="33"/>
  <c r="C236" i="33"/>
  <c r="J20" i="31"/>
  <c r="F257" i="33"/>
  <c r="C237" i="33"/>
  <c r="J4" i="31"/>
  <c r="J39" i="31"/>
  <c r="J5" i="31"/>
  <c r="J23" i="31"/>
  <c r="F258" i="33"/>
  <c r="C238" i="33"/>
  <c r="F259" i="33"/>
  <c r="C239" i="33"/>
  <c r="F260" i="33"/>
  <c r="C240" i="33"/>
  <c r="J7" i="31"/>
  <c r="J43" i="31"/>
  <c r="F261" i="33"/>
  <c r="C241" i="33"/>
  <c r="K30" i="31"/>
  <c r="K46" i="31"/>
  <c r="G25" i="31"/>
  <c r="I25" i="31" s="1"/>
  <c r="G37" i="31"/>
  <c r="G40" i="31"/>
  <c r="G46" i="31"/>
  <c r="I46" i="31" s="1"/>
  <c r="G44" i="31"/>
  <c r="I44" i="31" s="1"/>
  <c r="G22" i="31"/>
  <c r="G31" i="31"/>
  <c r="I31" i="31" s="1"/>
  <c r="G9" i="31"/>
  <c r="G42" i="31"/>
  <c r="G30" i="31"/>
  <c r="G10" i="31"/>
  <c r="G16" i="31"/>
  <c r="K44" i="31"/>
  <c r="N44" i="31" s="1"/>
  <c r="F262" i="33"/>
  <c r="C242" i="33"/>
  <c r="F263" i="33"/>
  <c r="C243" i="33"/>
  <c r="K16" i="31"/>
  <c r="K37" i="31"/>
  <c r="K10" i="31"/>
  <c r="F264" i="33"/>
  <c r="C244" i="33"/>
  <c r="Q31" i="31" s="1"/>
  <c r="T31" i="31" s="1"/>
  <c r="F265" i="33"/>
  <c r="C245" i="33"/>
  <c r="K42" i="31"/>
  <c r="K31" i="31"/>
  <c r="K40" i="31"/>
  <c r="K22" i="31"/>
  <c r="K9" i="31"/>
  <c r="F266" i="33"/>
  <c r="C246" i="33"/>
  <c r="F267" i="33"/>
  <c r="C247" i="33"/>
  <c r="Q25" i="31" s="1"/>
  <c r="T25" i="31" s="1"/>
  <c r="E226" i="33"/>
  <c r="K25" i="31"/>
  <c r="J256" i="33"/>
  <c r="J258" i="33"/>
  <c r="J260" i="33"/>
  <c r="J262" i="33"/>
  <c r="J264" i="33"/>
  <c r="J266" i="33"/>
  <c r="W49" i="31"/>
  <c r="Y49" i="31"/>
  <c r="Z48" i="31"/>
  <c r="V49" i="31"/>
  <c r="C56" i="33"/>
  <c r="C51" i="33"/>
  <c r="C53" i="33"/>
  <c r="G56" i="33"/>
  <c r="G51" i="33"/>
  <c r="G53" i="33"/>
  <c r="E53" i="33"/>
  <c r="E56" i="33"/>
  <c r="I53" i="33"/>
  <c r="I51" i="33"/>
  <c r="I56" i="33"/>
  <c r="C8" i="33"/>
  <c r="E8" i="33"/>
  <c r="G8" i="33"/>
  <c r="I8" i="33"/>
  <c r="F5" i="33"/>
  <c r="F11" i="33" s="1"/>
  <c r="H5" i="33"/>
  <c r="H11" i="33" s="1"/>
  <c r="J5" i="33"/>
  <c r="J11" i="33" s="1"/>
  <c r="B8" i="33"/>
  <c r="D8" i="33"/>
  <c r="C52" i="33"/>
  <c r="E52" i="33"/>
  <c r="G52" i="33"/>
  <c r="I52" i="33"/>
  <c r="B46" i="33"/>
  <c r="B49" i="33" s="1"/>
  <c r="D46" i="33"/>
  <c r="D49" i="33" s="1"/>
  <c r="F46" i="33"/>
  <c r="F52" i="33" s="1"/>
  <c r="H46" i="33"/>
  <c r="H49" i="33" s="1"/>
  <c r="F49" i="33"/>
  <c r="I110" i="33"/>
  <c r="I111" i="33"/>
  <c r="I112" i="33"/>
  <c r="I113" i="33"/>
  <c r="I116" i="33"/>
  <c r="J118" i="33"/>
  <c r="J119" i="33"/>
  <c r="J120" i="33"/>
  <c r="J121" i="33"/>
  <c r="E255" i="33"/>
  <c r="E256" i="33"/>
  <c r="E257" i="33"/>
  <c r="E258" i="33"/>
  <c r="E259" i="33"/>
  <c r="E260" i="33"/>
  <c r="E261" i="33"/>
  <c r="E262" i="33"/>
  <c r="E263" i="33"/>
  <c r="E264" i="33"/>
  <c r="E265" i="33"/>
  <c r="E266" i="33"/>
  <c r="E267" i="33"/>
  <c r="E268" i="33"/>
  <c r="N43" i="31" l="1"/>
  <c r="AB43" i="31" s="1"/>
  <c r="J8" i="33"/>
  <c r="N25" i="31"/>
  <c r="Q37" i="31"/>
  <c r="T37" i="31" s="1"/>
  <c r="Q10" i="31"/>
  <c r="T10" i="31" s="1"/>
  <c r="Q16" i="31"/>
  <c r="T16" i="31" s="1"/>
  <c r="I10" i="31"/>
  <c r="N10" i="31"/>
  <c r="I42" i="31"/>
  <c r="AB42" i="31" s="1"/>
  <c r="N42" i="31"/>
  <c r="AB44" i="31"/>
  <c r="I40" i="31"/>
  <c r="N40" i="31"/>
  <c r="P5" i="31"/>
  <c r="T5" i="31" s="1"/>
  <c r="P20" i="31"/>
  <c r="T20" i="31" s="1"/>
  <c r="I33" i="31"/>
  <c r="N33" i="31"/>
  <c r="I17" i="31"/>
  <c r="U17" i="31" s="1"/>
  <c r="AA17" i="31" s="1"/>
  <c r="N17" i="31"/>
  <c r="I35" i="31"/>
  <c r="N35" i="31"/>
  <c r="I23" i="31"/>
  <c r="N23" i="31"/>
  <c r="I39" i="31"/>
  <c r="N39" i="31"/>
  <c r="I7" i="31"/>
  <c r="N7" i="31"/>
  <c r="F8" i="33"/>
  <c r="F15" i="33" s="1"/>
  <c r="N31" i="31"/>
  <c r="Q22" i="31"/>
  <c r="T22" i="31" s="1"/>
  <c r="Q40" i="31"/>
  <c r="T40" i="31" s="1"/>
  <c r="Q42" i="31"/>
  <c r="T42" i="31" s="1"/>
  <c r="Q9" i="31"/>
  <c r="T9" i="31" s="1"/>
  <c r="I16" i="31"/>
  <c r="AB16" i="31" s="1"/>
  <c r="N16" i="31"/>
  <c r="I30" i="31"/>
  <c r="AB30" i="31" s="1"/>
  <c r="N30" i="31"/>
  <c r="I9" i="31"/>
  <c r="N9" i="31"/>
  <c r="I22" i="31"/>
  <c r="AB22" i="31" s="1"/>
  <c r="N22" i="31"/>
  <c r="I37" i="31"/>
  <c r="U37" i="31" s="1"/>
  <c r="AA37" i="31" s="1"/>
  <c r="N37" i="31"/>
  <c r="Q30" i="31"/>
  <c r="T30" i="31" s="1"/>
  <c r="Q44" i="31"/>
  <c r="T44" i="31" s="1"/>
  <c r="U44" i="31" s="1"/>
  <c r="AA44" i="31" s="1"/>
  <c r="Q46" i="31"/>
  <c r="T46" i="31" s="1"/>
  <c r="P43" i="31"/>
  <c r="T43" i="31" s="1"/>
  <c r="U43" i="31" s="1"/>
  <c r="P7" i="31"/>
  <c r="T7" i="31" s="1"/>
  <c r="P23" i="31"/>
  <c r="T23" i="31" s="1"/>
  <c r="P39" i="31"/>
  <c r="T39" i="31" s="1"/>
  <c r="P4" i="31"/>
  <c r="T4" i="31" s="1"/>
  <c r="I15" i="31"/>
  <c r="N15" i="31"/>
  <c r="AB15" i="31" s="1"/>
  <c r="I18" i="31"/>
  <c r="N18" i="31"/>
  <c r="I36" i="31"/>
  <c r="N36" i="31"/>
  <c r="I20" i="31"/>
  <c r="N20" i="31"/>
  <c r="AB20" i="31" s="1"/>
  <c r="P33" i="31"/>
  <c r="T33" i="31" s="1"/>
  <c r="P35" i="31"/>
  <c r="T35" i="31" s="1"/>
  <c r="P36" i="31"/>
  <c r="T36" i="31" s="1"/>
  <c r="P15" i="31"/>
  <c r="T15" i="31" s="1"/>
  <c r="U15" i="31" s="1"/>
  <c r="AA15" i="31" s="1"/>
  <c r="P17" i="31"/>
  <c r="T17" i="31" s="1"/>
  <c r="P18" i="31"/>
  <c r="T18" i="31" s="1"/>
  <c r="I4" i="31"/>
  <c r="U4" i="31" s="1"/>
  <c r="AA4" i="31" s="1"/>
  <c r="N4" i="31"/>
  <c r="N5" i="31"/>
  <c r="AB5" i="31" s="1"/>
  <c r="U36" i="31"/>
  <c r="AA36" i="31" s="1"/>
  <c r="U42" i="31"/>
  <c r="AA42" i="31" s="1"/>
  <c r="J49" i="31"/>
  <c r="U16" i="31"/>
  <c r="AA16" i="31" s="1"/>
  <c r="J52" i="33"/>
  <c r="B52" i="33"/>
  <c r="C54" i="33"/>
  <c r="C58" i="33" s="1"/>
  <c r="K49" i="31"/>
  <c r="AB25" i="31"/>
  <c r="K267" i="33"/>
  <c r="F247" i="33"/>
  <c r="S32" i="31" s="1"/>
  <c r="T32" i="31" s="1"/>
  <c r="M32" i="31"/>
  <c r="K266" i="33"/>
  <c r="F246" i="33"/>
  <c r="K265" i="33"/>
  <c r="F245" i="33"/>
  <c r="S24" i="31" s="1"/>
  <c r="T24" i="31" s="1"/>
  <c r="M24" i="31"/>
  <c r="K264" i="33"/>
  <c r="F244" i="33"/>
  <c r="K263" i="33"/>
  <c r="F243" i="33"/>
  <c r="K262" i="33"/>
  <c r="F242" i="33"/>
  <c r="M26" i="31"/>
  <c r="K261" i="33"/>
  <c r="F241" i="33"/>
  <c r="G32" i="31"/>
  <c r="G24" i="31"/>
  <c r="G3" i="31"/>
  <c r="I3" i="31" s="1"/>
  <c r="G26" i="31"/>
  <c r="I26" i="31" s="1"/>
  <c r="M3" i="31"/>
  <c r="G38" i="31"/>
  <c r="G28" i="31"/>
  <c r="M38" i="31"/>
  <c r="M28" i="31"/>
  <c r="K260" i="33"/>
  <c r="F240" i="33"/>
  <c r="L21" i="31"/>
  <c r="L13" i="31"/>
  <c r="L41" i="31"/>
  <c r="K259" i="33"/>
  <c r="F239" i="33"/>
  <c r="K258" i="33"/>
  <c r="F238" i="33"/>
  <c r="K257" i="33"/>
  <c r="F237" i="33"/>
  <c r="L11" i="31"/>
  <c r="L27" i="31"/>
  <c r="L12" i="31"/>
  <c r="L19" i="31"/>
  <c r="K256" i="33"/>
  <c r="F236" i="33"/>
  <c r="L45" i="31"/>
  <c r="K255" i="33"/>
  <c r="F235" i="33"/>
  <c r="G21" i="31"/>
  <c r="G11" i="31"/>
  <c r="G45" i="31"/>
  <c r="I45" i="31" s="1"/>
  <c r="G27" i="31"/>
  <c r="I27" i="31" s="1"/>
  <c r="L29" i="31"/>
  <c r="G29" i="31"/>
  <c r="L47" i="31"/>
  <c r="G47" i="31"/>
  <c r="I47" i="31" s="1"/>
  <c r="G13" i="31"/>
  <c r="G41" i="31"/>
  <c r="L34" i="31"/>
  <c r="G34" i="31"/>
  <c r="L14" i="31"/>
  <c r="G14" i="31"/>
  <c r="L8" i="31"/>
  <c r="G8" i="31"/>
  <c r="G12" i="31"/>
  <c r="G19" i="31"/>
  <c r="L6" i="31"/>
  <c r="G6" i="31"/>
  <c r="G48" i="31"/>
  <c r="I48" i="31" s="1"/>
  <c r="L48" i="31"/>
  <c r="G54" i="33"/>
  <c r="G58" i="33" s="1"/>
  <c r="AA43" i="31"/>
  <c r="U25" i="31"/>
  <c r="AA25" i="31" s="1"/>
  <c r="F268" i="33"/>
  <c r="C248" i="33"/>
  <c r="AB31" i="31"/>
  <c r="N46" i="31"/>
  <c r="AB39" i="31"/>
  <c r="Z3" i="31"/>
  <c r="Z49" i="31" s="1"/>
  <c r="X49" i="31"/>
  <c r="C56" i="31"/>
  <c r="C60" i="31"/>
  <c r="H56" i="33"/>
  <c r="H53" i="33"/>
  <c r="H51" i="33"/>
  <c r="D56" i="33"/>
  <c r="D53" i="33"/>
  <c r="D51" i="33"/>
  <c r="J56" i="33"/>
  <c r="J53" i="33"/>
  <c r="J51" i="33"/>
  <c r="B56" i="33"/>
  <c r="B53" i="33"/>
  <c r="B51" i="33"/>
  <c r="J15" i="33"/>
  <c r="J12" i="33"/>
  <c r="J10" i="33"/>
  <c r="F12" i="33"/>
  <c r="B15" i="33"/>
  <c r="B12" i="33"/>
  <c r="B10" i="33"/>
  <c r="B13" i="33" s="1"/>
  <c r="B17" i="33" s="1"/>
  <c r="H52" i="33"/>
  <c r="I15" i="33"/>
  <c r="I12" i="33"/>
  <c r="I10" i="33"/>
  <c r="I13" i="33" s="1"/>
  <c r="I17" i="33" s="1"/>
  <c r="E15" i="33"/>
  <c r="E12" i="33"/>
  <c r="E10" i="33"/>
  <c r="F56" i="33"/>
  <c r="F53" i="33"/>
  <c r="F51" i="33"/>
  <c r="F54" i="33" s="1"/>
  <c r="F58" i="33" s="1"/>
  <c r="H8" i="33"/>
  <c r="D15" i="33"/>
  <c r="D12" i="33"/>
  <c r="D10" i="33"/>
  <c r="D52" i="33"/>
  <c r="G15" i="33"/>
  <c r="G12" i="33"/>
  <c r="G10" i="33"/>
  <c r="G13" i="33" s="1"/>
  <c r="G17" i="33" s="1"/>
  <c r="C15" i="33"/>
  <c r="C12" i="33"/>
  <c r="C10" i="33"/>
  <c r="I54" i="33"/>
  <c r="I58" i="33" s="1"/>
  <c r="E54" i="33"/>
  <c r="E58" i="33" s="1"/>
  <c r="U18" i="31" l="1"/>
  <c r="AA18" i="31" s="1"/>
  <c r="AB37" i="31"/>
  <c r="N47" i="31"/>
  <c r="AB47" i="31" s="1"/>
  <c r="U7" i="31"/>
  <c r="AA7" i="31" s="1"/>
  <c r="AB35" i="31"/>
  <c r="U5" i="31"/>
  <c r="AA5" i="31" s="1"/>
  <c r="D13" i="33"/>
  <c r="D17" i="33" s="1"/>
  <c r="AB4" i="31"/>
  <c r="U40" i="31"/>
  <c r="AA40" i="31" s="1"/>
  <c r="U10" i="31"/>
  <c r="AA10" i="31" s="1"/>
  <c r="I12" i="31"/>
  <c r="AB12" i="31" s="1"/>
  <c r="N12" i="31"/>
  <c r="I13" i="31"/>
  <c r="N13" i="31"/>
  <c r="I21" i="31"/>
  <c r="N21" i="31"/>
  <c r="U21" i="31" s="1"/>
  <c r="AA21" i="31" s="1"/>
  <c r="R27" i="31"/>
  <c r="T27" i="31" s="1"/>
  <c r="R45" i="31"/>
  <c r="T45" i="31" s="1"/>
  <c r="R11" i="31"/>
  <c r="T11" i="31" s="1"/>
  <c r="R12" i="31"/>
  <c r="T12" i="31" s="1"/>
  <c r="R19" i="31"/>
  <c r="T19" i="31" s="1"/>
  <c r="I38" i="31"/>
  <c r="N38" i="31"/>
  <c r="I24" i="31"/>
  <c r="N24" i="31"/>
  <c r="S26" i="31"/>
  <c r="T26" i="31" s="1"/>
  <c r="S28" i="31"/>
  <c r="T28" i="31" s="1"/>
  <c r="S38" i="31"/>
  <c r="T38" i="31" s="1"/>
  <c r="S3" i="31"/>
  <c r="T3" i="31" s="1"/>
  <c r="N26" i="31"/>
  <c r="AB26" i="31" s="1"/>
  <c r="U22" i="31"/>
  <c r="AB40" i="31"/>
  <c r="F10" i="33"/>
  <c r="AB10" i="31"/>
  <c r="AA22" i="31"/>
  <c r="I6" i="31"/>
  <c r="N6" i="31"/>
  <c r="I19" i="31"/>
  <c r="N19" i="31"/>
  <c r="AB19" i="31" s="1"/>
  <c r="I8" i="31"/>
  <c r="N8" i="31"/>
  <c r="I14" i="31"/>
  <c r="N14" i="31"/>
  <c r="I34" i="31"/>
  <c r="N34" i="31"/>
  <c r="I41" i="31"/>
  <c r="N41" i="31"/>
  <c r="I29" i="31"/>
  <c r="N29" i="31"/>
  <c r="I11" i="31"/>
  <c r="N11" i="31"/>
  <c r="AB11" i="31" s="1"/>
  <c r="R29" i="31"/>
  <c r="T29" i="31" s="1"/>
  <c r="R34" i="31"/>
  <c r="T34" i="31" s="1"/>
  <c r="U34" i="31" s="1"/>
  <c r="AA34" i="31" s="1"/>
  <c r="R47" i="31"/>
  <c r="T47" i="31" s="1"/>
  <c r="R48" i="31"/>
  <c r="T48" i="31" s="1"/>
  <c r="R6" i="31"/>
  <c r="T6" i="31" s="1"/>
  <c r="R8" i="31"/>
  <c r="T8" i="31" s="1"/>
  <c r="R14" i="31"/>
  <c r="T14" i="31" s="1"/>
  <c r="R41" i="31"/>
  <c r="T41" i="31" s="1"/>
  <c r="R13" i="31"/>
  <c r="T13" i="31" s="1"/>
  <c r="R21" i="31"/>
  <c r="T21" i="31" s="1"/>
  <c r="I28" i="31"/>
  <c r="N28" i="31"/>
  <c r="I32" i="31"/>
  <c r="N32" i="31"/>
  <c r="AB7" i="31"/>
  <c r="U30" i="31"/>
  <c r="AA30" i="31" s="1"/>
  <c r="U20" i="31"/>
  <c r="AA20" i="31" s="1"/>
  <c r="AB36" i="31"/>
  <c r="AB18" i="31"/>
  <c r="AB17" i="31"/>
  <c r="N27" i="31"/>
  <c r="AB27" i="31" s="1"/>
  <c r="U35" i="31"/>
  <c r="AA35" i="31" s="1"/>
  <c r="AB33" i="31"/>
  <c r="U33" i="31"/>
  <c r="AA33" i="31" s="1"/>
  <c r="AB23" i="31"/>
  <c r="U23" i="31"/>
  <c r="AA23" i="31" s="1"/>
  <c r="U13" i="31"/>
  <c r="AA13" i="31" s="1"/>
  <c r="AB9" i="31"/>
  <c r="U9" i="31"/>
  <c r="AA9" i="31" s="1"/>
  <c r="C13" i="33"/>
  <c r="C17" i="33" s="1"/>
  <c r="E13" i="33"/>
  <c r="E17" i="33" s="1"/>
  <c r="F13" i="33"/>
  <c r="F17" i="33" s="1"/>
  <c r="B54" i="33"/>
  <c r="B58" i="33" s="1"/>
  <c r="D54" i="33"/>
  <c r="D58" i="33" s="1"/>
  <c r="AB46" i="31"/>
  <c r="U46" i="31"/>
  <c r="AA46" i="31" s="1"/>
  <c r="L49" i="31"/>
  <c r="N48" i="31"/>
  <c r="AB48" i="31" s="1"/>
  <c r="U19" i="31"/>
  <c r="AA19" i="31" s="1"/>
  <c r="U47" i="31"/>
  <c r="AA47" i="31" s="1"/>
  <c r="U27" i="31"/>
  <c r="AA27" i="31" s="1"/>
  <c r="N45" i="31"/>
  <c r="AB45" i="31" s="1"/>
  <c r="AB13" i="31"/>
  <c r="N3" i="31"/>
  <c r="M49" i="31"/>
  <c r="I49" i="31"/>
  <c r="C54" i="31" s="1"/>
  <c r="AB24" i="31"/>
  <c r="U39" i="31"/>
  <c r="AA39" i="31" s="1"/>
  <c r="U31" i="31"/>
  <c r="AA31" i="31" s="1"/>
  <c r="J13" i="33"/>
  <c r="J17" i="33" s="1"/>
  <c r="J54" i="33"/>
  <c r="J58" i="33" s="1"/>
  <c r="H54" i="33"/>
  <c r="H58" i="33" s="1"/>
  <c r="C61" i="31"/>
  <c r="C67" i="23" s="1"/>
  <c r="H15" i="33"/>
  <c r="H12" i="33"/>
  <c r="H10" i="33"/>
  <c r="AB28" i="31" l="1"/>
  <c r="AB34" i="31"/>
  <c r="U41" i="31"/>
  <c r="AA41" i="31" s="1"/>
  <c r="AB38" i="31"/>
  <c r="U3" i="31"/>
  <c r="AA3" i="31" s="1"/>
  <c r="U38" i="31"/>
  <c r="AA38" i="31" s="1"/>
  <c r="U29" i="31"/>
  <c r="AA29" i="31" s="1"/>
  <c r="U14" i="31"/>
  <c r="AA14" i="31" s="1"/>
  <c r="U6" i="31"/>
  <c r="AA6" i="31" s="1"/>
  <c r="AB32" i="31"/>
  <c r="AB8" i="31"/>
  <c r="U8" i="31"/>
  <c r="AA8" i="31" s="1"/>
  <c r="AB41" i="31"/>
  <c r="AB29" i="31"/>
  <c r="AB14" i="31"/>
  <c r="AB6" i="31"/>
  <c r="U32" i="31"/>
  <c r="AA32" i="31" s="1"/>
  <c r="U28" i="31"/>
  <c r="AA28" i="31" s="1"/>
  <c r="T49" i="31"/>
  <c r="C57" i="31" s="1"/>
  <c r="AB21" i="31"/>
  <c r="U48" i="31"/>
  <c r="AA48" i="31" s="1"/>
  <c r="U11" i="31"/>
  <c r="U24" i="31"/>
  <c r="AA24" i="31" s="1"/>
  <c r="U45" i="31"/>
  <c r="AA45" i="31" s="1"/>
  <c r="AB3" i="31"/>
  <c r="N49" i="31"/>
  <c r="C55" i="31" s="1"/>
  <c r="C66" i="23" s="1"/>
  <c r="U26" i="31"/>
  <c r="AA26" i="31" s="1"/>
  <c r="U12" i="31"/>
  <c r="AA12" i="31" s="1"/>
  <c r="H13" i="33"/>
  <c r="H17" i="33" s="1"/>
  <c r="C59" i="31"/>
  <c r="AB49" i="31" l="1"/>
  <c r="C62" i="31" s="1"/>
  <c r="AA11" i="31"/>
  <c r="AA49" i="31"/>
  <c r="U49" i="31"/>
  <c r="C58" i="31" s="1"/>
  <c r="E5" i="32"/>
  <c r="E3" i="32"/>
  <c r="E2" i="32"/>
  <c r="D3" i="32"/>
  <c r="D4" i="32"/>
  <c r="D5" i="32"/>
  <c r="D2" i="32"/>
  <c r="G33" i="26"/>
  <c r="G58" i="26"/>
  <c r="G40" i="26"/>
  <c r="G41" i="26"/>
  <c r="G42" i="26"/>
  <c r="G36" i="26"/>
  <c r="G26" i="26"/>
  <c r="G21" i="26"/>
  <c r="G22" i="26"/>
  <c r="O15" i="26"/>
  <c r="G15" i="26"/>
  <c r="G13" i="26"/>
  <c r="D15" i="22"/>
  <c r="E6" i="32" l="1"/>
  <c r="D32" i="23" s="1"/>
  <c r="C63" i="31"/>
  <c r="D6" i="32"/>
  <c r="C6" i="23" s="1"/>
  <c r="T2" i="30"/>
  <c r="Q2" i="30"/>
  <c r="C2" i="30"/>
  <c r="E2" i="30"/>
  <c r="F2" i="30"/>
  <c r="G2" i="30"/>
  <c r="H2" i="30"/>
  <c r="I2" i="30"/>
  <c r="J2" i="30"/>
  <c r="K2" i="30"/>
  <c r="L2" i="30"/>
  <c r="M2" i="30"/>
  <c r="N2" i="30"/>
  <c r="O2" i="30"/>
  <c r="P2" i="30"/>
  <c r="W3" i="30"/>
  <c r="B2" i="30"/>
  <c r="H3" i="29"/>
  <c r="E2" i="29"/>
  <c r="F2" i="29"/>
  <c r="G2" i="29"/>
  <c r="C2" i="29"/>
  <c r="D2" i="29"/>
  <c r="B2" i="29"/>
  <c r="D38" i="24"/>
  <c r="D39" i="24"/>
  <c r="D40" i="24"/>
  <c r="D37" i="24"/>
  <c r="D19" i="24"/>
  <c r="D20" i="24"/>
  <c r="D21" i="24"/>
  <c r="D22" i="24"/>
  <c r="D18" i="24"/>
  <c r="H2" i="29" l="1"/>
  <c r="H4" i="29" s="1"/>
  <c r="E33" i="25"/>
  <c r="E34" i="25"/>
  <c r="E32" i="25"/>
  <c r="E17" i="25"/>
  <c r="E18" i="25"/>
  <c r="E19" i="25"/>
  <c r="E16" i="25"/>
  <c r="F39" i="22" l="1"/>
  <c r="D10" i="22"/>
  <c r="D40" i="22"/>
  <c r="F40" i="22" s="1"/>
  <c r="F8" i="22"/>
  <c r="D29" i="22"/>
  <c r="D9" i="22"/>
  <c r="D27" i="22"/>
  <c r="D12" i="22"/>
  <c r="F41" i="22"/>
  <c r="F35" i="22"/>
  <c r="F34" i="22"/>
  <c r="F25" i="22"/>
  <c r="F24" i="22"/>
  <c r="F23" i="22"/>
  <c r="F22" i="22"/>
  <c r="F26" i="22"/>
  <c r="F21" i="22"/>
  <c r="F20" i="22"/>
  <c r="F19" i="22"/>
  <c r="D4" i="22"/>
  <c r="D3" i="22"/>
  <c r="F33" i="22" l="1"/>
  <c r="F15" i="22"/>
  <c r="F16" i="22"/>
  <c r="L55" i="26"/>
  <c r="P55" i="26" s="1"/>
  <c r="K55" i="26"/>
  <c r="J55" i="26"/>
  <c r="N55" i="26" s="1"/>
  <c r="K9" i="26"/>
  <c r="O9" i="26" s="1"/>
  <c r="H9" i="26"/>
  <c r="L9" i="26" s="1"/>
  <c r="P9" i="26" s="1"/>
  <c r="F9" i="26"/>
  <c r="J9" i="26" s="1"/>
  <c r="N9" i="26" s="1"/>
  <c r="G60" i="26"/>
  <c r="H60" i="26"/>
  <c r="L60" i="26" s="1"/>
  <c r="P60" i="26" s="1"/>
  <c r="F60" i="26"/>
  <c r="J60" i="26" s="1"/>
  <c r="N60" i="26" s="1"/>
  <c r="O58" i="26"/>
  <c r="H58" i="26"/>
  <c r="L58" i="26" s="1"/>
  <c r="P58" i="26" s="1"/>
  <c r="F58" i="26"/>
  <c r="J58" i="26" s="1"/>
  <c r="N58" i="26" s="1"/>
  <c r="K57" i="26"/>
  <c r="O57" i="26" s="1"/>
  <c r="H57" i="26"/>
  <c r="L57" i="26" s="1"/>
  <c r="P57" i="26" s="1"/>
  <c r="F57" i="26"/>
  <c r="J57" i="26" s="1"/>
  <c r="N57" i="26" s="1"/>
  <c r="H48" i="26"/>
  <c r="L48" i="26" s="1"/>
  <c r="G48" i="26"/>
  <c r="K48" i="26" s="1"/>
  <c r="F48" i="26"/>
  <c r="J48" i="26" s="1"/>
  <c r="H47" i="26"/>
  <c r="L47" i="26" s="1"/>
  <c r="P47" i="26" s="1"/>
  <c r="G47" i="26"/>
  <c r="K47" i="26" s="1"/>
  <c r="F47" i="26"/>
  <c r="J47" i="26" s="1"/>
  <c r="N47" i="26" s="1"/>
  <c r="H46" i="26"/>
  <c r="L46" i="26" s="1"/>
  <c r="P46" i="26" s="1"/>
  <c r="G46" i="26"/>
  <c r="K46" i="26" s="1"/>
  <c r="F46" i="26"/>
  <c r="J46" i="26" s="1"/>
  <c r="N46" i="26" s="1"/>
  <c r="G45" i="26"/>
  <c r="K45" i="26" s="1"/>
  <c r="H45" i="26"/>
  <c r="L45" i="26" s="1"/>
  <c r="P45" i="26" s="1"/>
  <c r="F45" i="26"/>
  <c r="J45" i="26" s="1"/>
  <c r="N45" i="26" s="1"/>
  <c r="H44" i="26"/>
  <c r="L44" i="26" s="1"/>
  <c r="F44" i="26"/>
  <c r="J44" i="26" s="1"/>
  <c r="H43" i="26"/>
  <c r="F43" i="26"/>
  <c r="O42" i="26"/>
  <c r="H42" i="26"/>
  <c r="L42" i="26" s="1"/>
  <c r="P42" i="26" s="1"/>
  <c r="F42" i="26"/>
  <c r="J42" i="26" s="1"/>
  <c r="N42" i="26" s="1"/>
  <c r="O41" i="26"/>
  <c r="H41" i="26"/>
  <c r="L41" i="26" s="1"/>
  <c r="P41" i="26" s="1"/>
  <c r="F41" i="26"/>
  <c r="J41" i="26" s="1"/>
  <c r="N41" i="26" s="1"/>
  <c r="O40" i="26"/>
  <c r="H40" i="26"/>
  <c r="L40" i="26" s="1"/>
  <c r="P40" i="26" s="1"/>
  <c r="F40" i="26"/>
  <c r="J40" i="26" s="1"/>
  <c r="N40" i="26" s="1"/>
  <c r="O36" i="26"/>
  <c r="H36" i="26"/>
  <c r="L36" i="26" s="1"/>
  <c r="P36" i="26" s="1"/>
  <c r="F36" i="26"/>
  <c r="J36" i="26" s="1"/>
  <c r="N36" i="26" s="1"/>
  <c r="H33" i="26"/>
  <c r="L33" i="26" s="1"/>
  <c r="P33" i="26" s="1"/>
  <c r="O33" i="26"/>
  <c r="F33" i="26"/>
  <c r="J33" i="26" s="1"/>
  <c r="N33" i="26" s="1"/>
  <c r="G49" i="26"/>
  <c r="K49" i="26" s="1"/>
  <c r="H49" i="26"/>
  <c r="L49" i="26" s="1"/>
  <c r="P49" i="26" s="1"/>
  <c r="F49" i="26"/>
  <c r="J49" i="26" s="1"/>
  <c r="N49" i="26" s="1"/>
  <c r="K39" i="26"/>
  <c r="O39" i="26" s="1"/>
  <c r="H39" i="26"/>
  <c r="L39" i="26" s="1"/>
  <c r="P39" i="26" s="1"/>
  <c r="F39" i="26"/>
  <c r="J39" i="26" s="1"/>
  <c r="N39" i="26" s="1"/>
  <c r="K38" i="26"/>
  <c r="H38" i="26"/>
  <c r="L38" i="26" s="1"/>
  <c r="F38" i="26"/>
  <c r="J38" i="26" s="1"/>
  <c r="K37" i="26"/>
  <c r="H37" i="26"/>
  <c r="L37" i="26" s="1"/>
  <c r="P37" i="26" s="1"/>
  <c r="F37" i="26"/>
  <c r="J37" i="26" s="1"/>
  <c r="N37" i="26" s="1"/>
  <c r="K35" i="26"/>
  <c r="H35" i="26"/>
  <c r="L35" i="26" s="1"/>
  <c r="P35" i="26" s="1"/>
  <c r="F35" i="26"/>
  <c r="J35" i="26" s="1"/>
  <c r="N35" i="26" s="1"/>
  <c r="K34" i="26"/>
  <c r="H34" i="26"/>
  <c r="L34" i="26" s="1"/>
  <c r="P34" i="26" s="1"/>
  <c r="F34" i="26"/>
  <c r="J34" i="26" s="1"/>
  <c r="N34" i="26" s="1"/>
  <c r="O22" i="26"/>
  <c r="H22" i="26"/>
  <c r="L22" i="26" s="1"/>
  <c r="P22" i="26" s="1"/>
  <c r="F22" i="26"/>
  <c r="J22" i="26" s="1"/>
  <c r="N22" i="26" s="1"/>
  <c r="H21" i="26"/>
  <c r="L21" i="26" s="1"/>
  <c r="P21" i="26" s="1"/>
  <c r="O21" i="26"/>
  <c r="F21" i="26"/>
  <c r="J21" i="26" s="1"/>
  <c r="N21" i="26" s="1"/>
  <c r="H26" i="26"/>
  <c r="L26" i="26" s="1"/>
  <c r="F26" i="26"/>
  <c r="J26" i="26" s="1"/>
  <c r="H25" i="26"/>
  <c r="L25" i="26" s="1"/>
  <c r="P25" i="26" s="1"/>
  <c r="G25" i="26"/>
  <c r="F25" i="26"/>
  <c r="J25" i="26" s="1"/>
  <c r="N25" i="26" s="1"/>
  <c r="G31" i="26"/>
  <c r="K31" i="26" s="1"/>
  <c r="H31" i="26"/>
  <c r="L31" i="26" s="1"/>
  <c r="F31" i="26"/>
  <c r="J31" i="26" s="1"/>
  <c r="K30" i="26"/>
  <c r="O30" i="26" s="1"/>
  <c r="H30" i="26"/>
  <c r="L30" i="26" s="1"/>
  <c r="P30" i="26" s="1"/>
  <c r="F30" i="26"/>
  <c r="J30" i="26" s="1"/>
  <c r="N30" i="26" s="1"/>
  <c r="K29" i="26"/>
  <c r="H29" i="26"/>
  <c r="L29" i="26" s="1"/>
  <c r="P29" i="26" s="1"/>
  <c r="F29" i="26"/>
  <c r="J29" i="26" s="1"/>
  <c r="N29" i="26" s="1"/>
  <c r="K28" i="26"/>
  <c r="H28" i="26"/>
  <c r="L28" i="26" s="1"/>
  <c r="P28" i="26" s="1"/>
  <c r="F28" i="26"/>
  <c r="J28" i="26" s="1"/>
  <c r="N28" i="26" s="1"/>
  <c r="K27" i="26"/>
  <c r="O27" i="26" s="1"/>
  <c r="H27" i="26"/>
  <c r="L27" i="26" s="1"/>
  <c r="P27" i="26" s="1"/>
  <c r="F27" i="26"/>
  <c r="J27" i="26" s="1"/>
  <c r="N27" i="26" s="1"/>
  <c r="K24" i="26"/>
  <c r="H24" i="26"/>
  <c r="L24" i="26" s="1"/>
  <c r="P24" i="26" s="1"/>
  <c r="F24" i="26"/>
  <c r="J24" i="26" s="1"/>
  <c r="N24" i="26" s="1"/>
  <c r="F59" i="28"/>
  <c r="F58" i="28"/>
  <c r="F57" i="28"/>
  <c r="F56" i="28"/>
  <c r="F55" i="28"/>
  <c r="F54" i="28"/>
  <c r="F53" i="28"/>
  <c r="F52" i="28"/>
  <c r="F51" i="28"/>
  <c r="F50" i="28"/>
  <c r="F49" i="28"/>
  <c r="F48" i="28"/>
  <c r="H48" i="28" s="1"/>
  <c r="F47" i="28"/>
  <c r="F46" i="28"/>
  <c r="F45" i="28"/>
  <c r="F44" i="28"/>
  <c r="F43" i="28"/>
  <c r="F42" i="28"/>
  <c r="H42" i="28" s="1"/>
  <c r="F41" i="28"/>
  <c r="F40" i="28"/>
  <c r="F39" i="28"/>
  <c r="F38" i="28"/>
  <c r="F37" i="28"/>
  <c r="F36" i="28"/>
  <c r="F35" i="28"/>
  <c r="F34" i="28"/>
  <c r="F33" i="28"/>
  <c r="F4" i="28"/>
  <c r="F5" i="28"/>
  <c r="F6" i="28"/>
  <c r="F7" i="28"/>
  <c r="F8" i="28"/>
  <c r="F9" i="28"/>
  <c r="F10" i="28"/>
  <c r="F11" i="28"/>
  <c r="F12" i="28"/>
  <c r="F13" i="28"/>
  <c r="F14" i="28"/>
  <c r="F15" i="28"/>
  <c r="F16" i="28"/>
  <c r="F17" i="28"/>
  <c r="F18" i="28"/>
  <c r="F19" i="28"/>
  <c r="F20" i="28"/>
  <c r="F21" i="28"/>
  <c r="F22" i="28"/>
  <c r="F23" i="28"/>
  <c r="F24" i="28"/>
  <c r="F25" i="28"/>
  <c r="F26" i="28"/>
  <c r="F27" i="28"/>
  <c r="F28" i="28"/>
  <c r="F29" i="28"/>
  <c r="F3" i="28"/>
  <c r="K20" i="26"/>
  <c r="H20" i="26"/>
  <c r="L20" i="26" s="1"/>
  <c r="P20" i="26" s="1"/>
  <c r="F20" i="26"/>
  <c r="J20" i="26" s="1"/>
  <c r="N20" i="26" s="1"/>
  <c r="K18" i="26"/>
  <c r="H18" i="26"/>
  <c r="L18" i="26" s="1"/>
  <c r="P18" i="26" s="1"/>
  <c r="F18" i="26"/>
  <c r="J18" i="26" s="1"/>
  <c r="N18" i="26" s="1"/>
  <c r="K23" i="26"/>
  <c r="H23" i="26"/>
  <c r="L23" i="26" s="1"/>
  <c r="P23" i="26" s="1"/>
  <c r="F23" i="26"/>
  <c r="J23" i="26" s="1"/>
  <c r="N23" i="26" s="1"/>
  <c r="K17" i="26"/>
  <c r="F17" i="26"/>
  <c r="J17" i="26" s="1"/>
  <c r="N17" i="26" s="1"/>
  <c r="H17" i="26"/>
  <c r="L17" i="26" s="1"/>
  <c r="P17" i="26" s="1"/>
  <c r="H44" i="28" l="1"/>
  <c r="H34" i="28"/>
  <c r="H46" i="28"/>
  <c r="H36" i="28"/>
  <c r="H35" i="28"/>
  <c r="H37" i="28"/>
  <c r="H40" i="28"/>
  <c r="H41" i="28"/>
  <c r="H43" i="28"/>
  <c r="H45" i="28"/>
  <c r="H50" i="28"/>
  <c r="H49" i="28"/>
  <c r="H51" i="28"/>
  <c r="H56" i="28"/>
  <c r="H55" i="28"/>
  <c r="H57" i="28"/>
  <c r="H59" i="28"/>
  <c r="H38" i="28"/>
  <c r="H52" i="28"/>
  <c r="H54" i="28"/>
  <c r="H58" i="28"/>
  <c r="K60" i="26"/>
  <c r="F32" i="25"/>
  <c r="G32" i="25" s="1"/>
  <c r="F33" i="25"/>
  <c r="G33" i="25" s="1"/>
  <c r="F31" i="25"/>
  <c r="G31" i="25" s="1"/>
  <c r="F34" i="25"/>
  <c r="G34" i="25" s="1"/>
  <c r="K25" i="26"/>
  <c r="O25" i="26" s="1"/>
  <c r="E19" i="24" s="1"/>
  <c r="F19" i="24" s="1"/>
  <c r="F17" i="25"/>
  <c r="G17" i="25" s="1"/>
  <c r="F19" i="25"/>
  <c r="G19" i="25" s="1"/>
  <c r="F16" i="25"/>
  <c r="G16" i="25" s="1"/>
  <c r="F18" i="25"/>
  <c r="G18" i="25" s="1"/>
  <c r="F15" i="25"/>
  <c r="G15" i="25" s="1"/>
  <c r="E39" i="24"/>
  <c r="F39" i="24" s="1"/>
  <c r="E37" i="24"/>
  <c r="F37" i="24" s="1"/>
  <c r="E38" i="24"/>
  <c r="F38" i="24" s="1"/>
  <c r="E40" i="24"/>
  <c r="F40" i="24" s="1"/>
  <c r="E36" i="24"/>
  <c r="E17" i="24"/>
  <c r="F17" i="24" s="1"/>
  <c r="E22" i="24"/>
  <c r="F22" i="24" s="1"/>
  <c r="E18" i="24"/>
  <c r="F18" i="24" s="1"/>
  <c r="H15" i="26"/>
  <c r="L15" i="26" s="1"/>
  <c r="P15" i="26" s="1"/>
  <c r="F15" i="26"/>
  <c r="J15" i="26" s="1"/>
  <c r="N15" i="26" s="1"/>
  <c r="H13" i="26"/>
  <c r="L13" i="26" s="1"/>
  <c r="F13" i="26"/>
  <c r="J13" i="26" s="1"/>
  <c r="G6" i="26"/>
  <c r="G14" i="26"/>
  <c r="K6" i="26"/>
  <c r="H6" i="26"/>
  <c r="L6" i="26" s="1"/>
  <c r="P6" i="26" s="1"/>
  <c r="F6" i="26"/>
  <c r="J6" i="26" s="1"/>
  <c r="N6" i="26" s="1"/>
  <c r="H14" i="26"/>
  <c r="F14" i="26"/>
  <c r="K12" i="26"/>
  <c r="H12" i="26"/>
  <c r="L12" i="26" s="1"/>
  <c r="P12" i="26" s="1"/>
  <c r="F12" i="26"/>
  <c r="J12" i="26" s="1"/>
  <c r="N12" i="26" s="1"/>
  <c r="K10" i="26"/>
  <c r="H10" i="26"/>
  <c r="L10" i="26" s="1"/>
  <c r="P10" i="26" s="1"/>
  <c r="F10" i="26"/>
  <c r="J10" i="26" s="1"/>
  <c r="N10" i="26" s="1"/>
  <c r="K5" i="26"/>
  <c r="O5" i="26" s="1"/>
  <c r="E31" i="24" s="1"/>
  <c r="H5" i="26"/>
  <c r="L5" i="26" s="1"/>
  <c r="P5" i="26" s="1"/>
  <c r="F5" i="26"/>
  <c r="J5" i="26" s="1"/>
  <c r="N5" i="26" s="1"/>
  <c r="K4" i="26"/>
  <c r="O4" i="26" s="1"/>
  <c r="H4" i="26"/>
  <c r="L4" i="26" s="1"/>
  <c r="P4" i="26" s="1"/>
  <c r="F4" i="26"/>
  <c r="J4" i="26" s="1"/>
  <c r="N4" i="26" s="1"/>
  <c r="E35" i="24" l="1"/>
  <c r="E21" i="24"/>
  <c r="F21" i="24" s="1"/>
  <c r="E20" i="24"/>
  <c r="F20" i="24" s="1"/>
  <c r="E9" i="24"/>
  <c r="E34" i="24"/>
  <c r="E16" i="24"/>
  <c r="E33" i="24"/>
  <c r="E15" i="24"/>
  <c r="E29" i="24"/>
  <c r="E10" i="24"/>
  <c r="F27" i="25"/>
  <c r="F29" i="25"/>
  <c r="F25" i="25"/>
  <c r="F10" i="25"/>
  <c r="F12" i="25"/>
  <c r="F14" i="25"/>
  <c r="F8" i="25"/>
  <c r="F26" i="25"/>
  <c r="F28" i="25"/>
  <c r="F30" i="25"/>
  <c r="F11" i="25"/>
  <c r="F13" i="25"/>
  <c r="F9" i="25"/>
  <c r="E13" i="24"/>
  <c r="E30" i="24"/>
  <c r="E12" i="24"/>
  <c r="E32" i="24"/>
  <c r="E11" i="24"/>
  <c r="E14" i="24"/>
  <c r="B46" i="22"/>
  <c r="C63" i="23" s="1"/>
  <c r="D46" i="22"/>
  <c r="F46" i="22" l="1"/>
  <c r="D50" i="23" l="1"/>
  <c r="D51" i="23" s="1"/>
  <c r="C48" i="23"/>
  <c r="C49" i="23" l="1"/>
  <c r="C54" i="23" s="1"/>
  <c r="C41" i="23" l="1"/>
  <c r="D62" i="26" l="1"/>
  <c r="D4" i="23" s="1"/>
  <c r="C14" i="23" l="1"/>
  <c r="C6" i="27" l="1"/>
  <c r="C4" i="27"/>
  <c r="H25" i="28"/>
  <c r="B6" i="27" s="1"/>
  <c r="H11" i="28"/>
  <c r="B4" i="27" s="1"/>
  <c r="E23" i="24"/>
  <c r="E24" i="24"/>
  <c r="E25" i="24"/>
  <c r="E26" i="24"/>
  <c r="E27" i="24"/>
  <c r="E28" i="24"/>
  <c r="E4" i="24"/>
  <c r="E5" i="24"/>
  <c r="E6" i="24"/>
  <c r="E7" i="24"/>
  <c r="E8" i="24"/>
  <c r="E3" i="24"/>
  <c r="P62" i="26"/>
  <c r="L62" i="26"/>
  <c r="D10" i="23" s="1"/>
  <c r="D21" i="23" s="1"/>
  <c r="E41" i="24" l="1"/>
  <c r="D4" i="27"/>
  <c r="D6" i="27"/>
  <c r="D22" i="23"/>
  <c r="F4" i="25"/>
  <c r="F5" i="25"/>
  <c r="F6" i="25"/>
  <c r="F7" i="25"/>
  <c r="F20" i="25"/>
  <c r="F21" i="25"/>
  <c r="F22" i="25"/>
  <c r="F23" i="25"/>
  <c r="F24" i="25"/>
  <c r="F3" i="25"/>
  <c r="H62" i="26"/>
  <c r="F35" i="25" l="1"/>
  <c r="D8" i="27"/>
  <c r="D13" i="23" s="1"/>
  <c r="E30" i="25"/>
  <c r="G30" i="25" s="1"/>
  <c r="E29" i="25"/>
  <c r="G29" i="25" s="1"/>
  <c r="E28" i="25"/>
  <c r="G28" i="25" s="1"/>
  <c r="E27" i="25"/>
  <c r="G27" i="25" s="1"/>
  <c r="E26" i="25"/>
  <c r="G26" i="25" s="1"/>
  <c r="E24" i="25"/>
  <c r="G24" i="25" s="1"/>
  <c r="E23" i="25"/>
  <c r="G23" i="25" s="1"/>
  <c r="E22" i="25"/>
  <c r="G22" i="25" s="1"/>
  <c r="E21" i="25"/>
  <c r="G21" i="25" s="1"/>
  <c r="E14" i="25"/>
  <c r="G14" i="25" s="1"/>
  <c r="E13" i="25"/>
  <c r="G13" i="25" s="1"/>
  <c r="E12" i="25"/>
  <c r="G12" i="25" s="1"/>
  <c r="E11" i="25"/>
  <c r="G11" i="25" s="1"/>
  <c r="E10" i="25"/>
  <c r="G10" i="25" s="1"/>
  <c r="E9" i="25"/>
  <c r="G9" i="25" s="1"/>
  <c r="E7" i="25"/>
  <c r="G7" i="25" s="1"/>
  <c r="E6" i="25"/>
  <c r="G6" i="25" s="1"/>
  <c r="E5" i="25"/>
  <c r="G5" i="25" s="1"/>
  <c r="E4" i="25"/>
  <c r="G4" i="25" s="1"/>
  <c r="D25" i="24"/>
  <c r="F25" i="24" s="1"/>
  <c r="D26" i="24"/>
  <c r="F26" i="24" s="1"/>
  <c r="D27" i="24"/>
  <c r="F27" i="24" s="1"/>
  <c r="D28" i="24"/>
  <c r="F28" i="24" s="1"/>
  <c r="D24" i="24"/>
  <c r="F24" i="24" s="1"/>
  <c r="D11" i="24"/>
  <c r="F11" i="24" s="1"/>
  <c r="D12" i="24"/>
  <c r="F12" i="24" s="1"/>
  <c r="D13" i="24"/>
  <c r="F13" i="24" s="1"/>
  <c r="D14" i="24"/>
  <c r="F14" i="24" s="1"/>
  <c r="D15" i="24"/>
  <c r="F15" i="24" s="1"/>
  <c r="D16" i="24"/>
  <c r="F16" i="24" s="1"/>
  <c r="D10" i="24"/>
  <c r="F10" i="24" s="1"/>
  <c r="D31" i="24"/>
  <c r="F31" i="24" s="1"/>
  <c r="D32" i="24"/>
  <c r="D33" i="24"/>
  <c r="F33" i="24" s="1"/>
  <c r="D34" i="24"/>
  <c r="F34" i="24" s="1"/>
  <c r="D35" i="24"/>
  <c r="F35" i="24" s="1"/>
  <c r="D30" i="24"/>
  <c r="F30" i="24" s="1"/>
  <c r="D5" i="24"/>
  <c r="F5" i="24" s="1"/>
  <c r="D6" i="24"/>
  <c r="F6" i="24" s="1"/>
  <c r="D7" i="24"/>
  <c r="F7" i="24" s="1"/>
  <c r="D8" i="24"/>
  <c r="F8" i="24" s="1"/>
  <c r="F32" i="24"/>
  <c r="D4" i="24"/>
  <c r="F4" i="24" s="1"/>
  <c r="G35" i="25" l="1"/>
  <c r="D5" i="23" s="1"/>
  <c r="F41" i="24"/>
  <c r="D12" i="23" s="1"/>
  <c r="F50" i="22"/>
  <c r="D37" i="23"/>
  <c r="D14" i="23" l="1"/>
  <c r="C17" i="23" s="1"/>
  <c r="C60" i="23" s="1"/>
  <c r="C70" i="23" s="1"/>
  <c r="F5" i="22"/>
  <c r="F6" i="22"/>
  <c r="F7" i="22"/>
  <c r="F17" i="22"/>
  <c r="F18" i="22"/>
  <c r="C42" i="22"/>
  <c r="B42" i="22"/>
  <c r="F4" i="22"/>
  <c r="F3" i="22"/>
  <c r="B48" i="22" l="1"/>
  <c r="D42" i="22"/>
  <c r="F42" i="22" s="1"/>
  <c r="D40" i="23" s="1"/>
  <c r="D2" i="30"/>
  <c r="R2" i="30"/>
  <c r="S2" i="30"/>
  <c r="U2" i="30"/>
  <c r="V2" i="30"/>
  <c r="W4" i="30"/>
  <c r="D52" i="23" s="1"/>
  <c r="D54" i="23" s="1"/>
  <c r="C57" i="23" s="1"/>
  <c r="C62" i="23" s="1"/>
  <c r="W2" i="30" l="1"/>
  <c r="D38" i="23"/>
  <c r="D41" i="23" s="1"/>
  <c r="C44" i="23" s="1"/>
  <c r="C61" i="23" s="1"/>
  <c r="C71" i="23" s="1"/>
  <c r="C72" i="23" s="1"/>
  <c r="C64" i="23" l="1"/>
  <c r="C68"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Utente</author>
  </authors>
  <commentList>
    <comment ref="V4" authorId="0" shapeId="0" xr:uid="{00000000-0006-0000-0A00-000001000000}">
      <text>
        <r>
          <rPr>
            <sz val="9"/>
            <color indexed="81"/>
            <rFont val="Garamond"/>
            <family val="1"/>
          </rPr>
          <t>Indennità di qualifica CCNL 1996</t>
        </r>
      </text>
    </comment>
    <comment ref="V5" authorId="0" shapeId="0" xr:uid="{00000000-0006-0000-0A00-000002000000}">
      <text>
        <r>
          <rPr>
            <sz val="9"/>
            <color indexed="81"/>
            <rFont val="Garamond"/>
            <family val="1"/>
          </rPr>
          <t>Indennità di qualifica CCNL 1996</t>
        </r>
      </text>
    </comment>
    <comment ref="V7" authorId="0" shapeId="0" xr:uid="{00000000-0006-0000-0A00-000003000000}">
      <text>
        <r>
          <rPr>
            <sz val="9"/>
            <color indexed="81"/>
            <rFont val="Garamond"/>
            <family val="1"/>
          </rPr>
          <t>Indennità di qualifica CCNL 1996</t>
        </r>
      </text>
    </comment>
    <comment ref="V8" authorId="0" shapeId="0" xr:uid="{00000000-0006-0000-0A00-000004000000}">
      <text>
        <r>
          <rPr>
            <sz val="9"/>
            <color indexed="81"/>
            <rFont val="Garamond"/>
            <family val="1"/>
          </rPr>
          <t>Indennità vigilanza senza qualifica PS</t>
        </r>
      </text>
    </comment>
    <comment ref="V10" authorId="0" shapeId="0" xr:uid="{00000000-0006-0000-0A00-000005000000}">
      <text>
        <r>
          <rPr>
            <sz val="9"/>
            <color indexed="81"/>
            <rFont val="Garamond"/>
            <family val="1"/>
          </rPr>
          <t>Indennità di qualifica CCNL 1996</t>
        </r>
      </text>
    </comment>
    <comment ref="V15" authorId="0" shapeId="0" xr:uid="{00000000-0006-0000-0A00-000006000000}">
      <text>
        <r>
          <rPr>
            <sz val="9"/>
            <color indexed="81"/>
            <rFont val="Garamond"/>
            <family val="1"/>
          </rPr>
          <t>Indennità di qualifica CCNL 1996</t>
        </r>
      </text>
    </comment>
    <comment ref="V16" authorId="0" shapeId="0" xr:uid="{00000000-0006-0000-0A00-000007000000}">
      <text>
        <r>
          <rPr>
            <sz val="9"/>
            <color indexed="81"/>
            <rFont val="Garamond"/>
            <family val="1"/>
          </rPr>
          <t>Indennità di qualifica CCNL 1996</t>
        </r>
      </text>
    </comment>
    <comment ref="V17" authorId="0" shapeId="0" xr:uid="{00000000-0006-0000-0A00-000008000000}">
      <text>
        <r>
          <rPr>
            <sz val="9"/>
            <color indexed="81"/>
            <rFont val="Garamond"/>
            <family val="1"/>
          </rPr>
          <t>Indennità di qualifica CCNL 1996</t>
        </r>
      </text>
    </comment>
    <comment ref="V18" authorId="0" shapeId="0" xr:uid="{00000000-0006-0000-0A00-000009000000}">
      <text>
        <r>
          <rPr>
            <sz val="9"/>
            <color indexed="81"/>
            <rFont val="Garamond"/>
            <family val="1"/>
          </rPr>
          <t>Indennità di qualifica CCNL 1996</t>
        </r>
      </text>
    </comment>
    <comment ref="V20" authorId="0" shapeId="0" xr:uid="{00000000-0006-0000-0A00-00000A000000}">
      <text>
        <r>
          <rPr>
            <sz val="9"/>
            <color indexed="81"/>
            <rFont val="Garamond"/>
            <family val="1"/>
          </rPr>
          <t>Indennità di qualifica CCNL 1996</t>
        </r>
      </text>
    </comment>
    <comment ref="V21" authorId="0" shapeId="0" xr:uid="{00000000-0006-0000-0A00-00000B000000}">
      <text>
        <r>
          <rPr>
            <sz val="9"/>
            <color indexed="81"/>
            <rFont val="Garamond"/>
            <family val="1"/>
          </rPr>
          <t>Indennità di vigilanza con qualifica PS</t>
        </r>
      </text>
    </comment>
    <comment ref="V23" authorId="0" shapeId="0" xr:uid="{00000000-0006-0000-0A00-00000C000000}">
      <text>
        <r>
          <rPr>
            <sz val="9"/>
            <color indexed="81"/>
            <rFont val="Garamond"/>
            <family val="1"/>
          </rPr>
          <t>Indennità di qualifica CCNL 1996</t>
        </r>
      </text>
    </comment>
    <comment ref="O25" authorId="0" shapeId="0" xr:uid="{00000000-0006-0000-0A00-00000D000000}">
      <text>
        <r>
          <rPr>
            <sz val="9"/>
            <color indexed="81"/>
            <rFont val="Garamond"/>
            <family val="1"/>
          </rPr>
          <t>Assegno ad personam IIS ex 5ª qf + RIA</t>
        </r>
      </text>
    </comment>
    <comment ref="V27" authorId="0" shapeId="0" xr:uid="{00000000-0006-0000-0A00-00000E000000}">
      <text>
        <r>
          <rPr>
            <sz val="9"/>
            <color indexed="81"/>
            <rFont val="Garamond"/>
            <family val="1"/>
          </rPr>
          <t>Indennità di vigilanza con qualifica PS</t>
        </r>
      </text>
    </comment>
    <comment ref="V29" authorId="0" shapeId="0" xr:uid="{00000000-0006-0000-0A00-00000F000000}">
      <text>
        <r>
          <rPr>
            <sz val="9"/>
            <color indexed="81"/>
            <rFont val="Garamond"/>
            <family val="1"/>
          </rPr>
          <t>Indennità vigilanza senza qualifica PS</t>
        </r>
      </text>
    </comment>
    <comment ref="V30" authorId="0" shapeId="0" xr:uid="{00000000-0006-0000-0A00-000010000000}">
      <text>
        <r>
          <rPr>
            <sz val="9"/>
            <color indexed="81"/>
            <rFont val="Garamond"/>
            <family val="1"/>
          </rPr>
          <t>Indennità di qualifica CCNL 1996</t>
        </r>
      </text>
    </comment>
    <comment ref="V32" authorId="0" shapeId="0" xr:uid="{00000000-0006-0000-0A00-000011000000}">
      <text>
        <r>
          <rPr>
            <sz val="9"/>
            <color indexed="81"/>
            <rFont val="Garamond"/>
            <family val="1"/>
          </rPr>
          <t>Indennità di vigilanza con qualifica PS</t>
        </r>
      </text>
    </comment>
    <comment ref="V33" authorId="0" shapeId="0" xr:uid="{00000000-0006-0000-0A00-000012000000}">
      <text>
        <r>
          <rPr>
            <sz val="9"/>
            <color indexed="81"/>
            <rFont val="Garamond"/>
            <family val="1"/>
          </rPr>
          <t>Indennità di qualifica CCNL 1996</t>
        </r>
      </text>
    </comment>
    <comment ref="V35" authorId="0" shapeId="0" xr:uid="{00000000-0006-0000-0A00-000013000000}">
      <text>
        <r>
          <rPr>
            <sz val="9"/>
            <color indexed="81"/>
            <rFont val="Garamond"/>
            <family val="1"/>
          </rPr>
          <t>Indennità di qualifica CCNL 1996</t>
        </r>
      </text>
    </comment>
    <comment ref="V36" authorId="0" shapeId="0" xr:uid="{00000000-0006-0000-0A00-000014000000}">
      <text>
        <r>
          <rPr>
            <sz val="9"/>
            <color indexed="81"/>
            <rFont val="Garamond"/>
            <family val="1"/>
          </rPr>
          <t>Indennità di qualifica CCNL 1996</t>
        </r>
      </text>
    </comment>
    <comment ref="V37" authorId="0" shapeId="0" xr:uid="{00000000-0006-0000-0A00-000015000000}">
      <text>
        <r>
          <rPr>
            <sz val="9"/>
            <color indexed="81"/>
            <rFont val="Garamond"/>
            <family val="1"/>
          </rPr>
          <t>Indennità di qualifica CCNL 1996</t>
        </r>
      </text>
    </comment>
    <comment ref="V39" authorId="0" shapeId="0" xr:uid="{00000000-0006-0000-0A00-000016000000}">
      <text>
        <r>
          <rPr>
            <sz val="9"/>
            <color indexed="81"/>
            <rFont val="Garamond"/>
            <family val="1"/>
          </rPr>
          <t>Indennità di qualifica CCNL 1996</t>
        </r>
      </text>
    </comment>
    <comment ref="V43" authorId="0" shapeId="0" xr:uid="{00000000-0006-0000-0A00-000017000000}">
      <text>
        <r>
          <rPr>
            <sz val="9"/>
            <color indexed="81"/>
            <rFont val="Garamond"/>
            <family val="1"/>
          </rPr>
          <t>Indennità di qualifica CCNL 1996</t>
        </r>
      </text>
    </comment>
    <comment ref="V44" authorId="0" shapeId="0" xr:uid="{00000000-0006-0000-0A00-000018000000}">
      <text>
        <r>
          <rPr>
            <sz val="9"/>
            <color indexed="81"/>
            <rFont val="Garamond"/>
            <family val="1"/>
          </rPr>
          <t>Indennità di qualifica CCNL 1996</t>
        </r>
      </text>
    </comment>
    <comment ref="V46" authorId="0" shapeId="0" xr:uid="{00000000-0006-0000-0A00-000019000000}">
      <text>
        <r>
          <rPr>
            <sz val="9"/>
            <color indexed="81"/>
            <rFont val="Garamond"/>
            <family val="1"/>
          </rPr>
          <t>Indennità di qualifica CCNL 1996</t>
        </r>
      </text>
    </comment>
  </commentList>
</comments>
</file>

<file path=xl/sharedStrings.xml><?xml version="1.0" encoding="utf-8"?>
<sst xmlns="http://schemas.openxmlformats.org/spreadsheetml/2006/main" count="1459" uniqueCount="510">
  <si>
    <t>Importo a carico della parte stabile</t>
  </si>
  <si>
    <t>Importo a carico della parte variabile</t>
  </si>
  <si>
    <t>Somme utilizzate</t>
  </si>
  <si>
    <t>Somme non utilizzate</t>
  </si>
  <si>
    <t>somme escluse dalla contrattazione</t>
  </si>
  <si>
    <t>SOMME EXTRA FONDO</t>
  </si>
  <si>
    <t>descrizione</t>
  </si>
  <si>
    <t>Somme soggette al limite d.lgs. n. 75</t>
  </si>
  <si>
    <t>Somme non soggette al limite d.lgs. n. 75</t>
  </si>
  <si>
    <t>Riferimento normativo</t>
  </si>
  <si>
    <t>Risorse CCNL 2018, art. 67, comma 1 - Importo consolidato 2017</t>
  </si>
  <si>
    <t>Risorse CCNL 2018, art. 67, comma 2.a) - incremento 83,20 per dipendenti in servizio al 31.12.2015</t>
  </si>
  <si>
    <t>Risorse CCNL 2018, art. 67, comma 2.c) - retrib. anzianità e assegni ad personam personale cessato</t>
  </si>
  <si>
    <t>Risorse CCNL 2018, art. 67, comma 2.d) - eventuali risorse riassorbite ex art. 2 d.lgs. n. 165/2001</t>
  </si>
  <si>
    <t>Risorse CCNL 2018, art. 67, comma 2.g) - riduzione stabile fondo lavoro straordinario</t>
  </si>
  <si>
    <t>Incremento di 84,50 per dipendenti in servizio al 31.12.2018 - anno 2023</t>
  </si>
  <si>
    <t>Incremento di 84,50 per dipendenti in servizio al 31.12.2018 - anno 2021</t>
  </si>
  <si>
    <t>Incremento di 84,50 per dipendenti in servizio al 31.12.2018 - anno 2022</t>
  </si>
  <si>
    <t>Differenziali per incrementi a regime</t>
  </si>
  <si>
    <t>Maggiori oneri correlati all'incremento stabile della consistenza di personale per nuove assunzioni</t>
  </si>
  <si>
    <t>A1</t>
  </si>
  <si>
    <t>A2</t>
  </si>
  <si>
    <t>A3</t>
  </si>
  <si>
    <t>A4</t>
  </si>
  <si>
    <t>A5</t>
  </si>
  <si>
    <t>A6</t>
  </si>
  <si>
    <t>B1</t>
  </si>
  <si>
    <t>B2</t>
  </si>
  <si>
    <t>B3</t>
  </si>
  <si>
    <t>B4</t>
  </si>
  <si>
    <t>B5</t>
  </si>
  <si>
    <t>B6</t>
  </si>
  <si>
    <t>B7</t>
  </si>
  <si>
    <t>B8</t>
  </si>
  <si>
    <t>C1</t>
  </si>
  <si>
    <t>C2</t>
  </si>
  <si>
    <t>C3</t>
  </si>
  <si>
    <t>C4</t>
  </si>
  <si>
    <t>C5</t>
  </si>
  <si>
    <t>C6</t>
  </si>
  <si>
    <t>D1</t>
  </si>
  <si>
    <t>D2</t>
  </si>
  <si>
    <t>D3</t>
  </si>
  <si>
    <t>D4</t>
  </si>
  <si>
    <t>D5</t>
  </si>
  <si>
    <t>D6</t>
  </si>
  <si>
    <t>D7</t>
  </si>
  <si>
    <t>Posizione economica</t>
  </si>
  <si>
    <t>Differenziale annuo rispetto iniziale (compreso 13ª)</t>
  </si>
  <si>
    <t>Incremento mensile a regime (1.1.2021)</t>
  </si>
  <si>
    <t>Dipendenti in servizio all'1.1.2021</t>
  </si>
  <si>
    <t>Ammontare che confluisce nel fondo</t>
  </si>
  <si>
    <t>Applicazione art. 79, comma 1, lettera d)</t>
  </si>
  <si>
    <t>CCNL 16.11.2022, art. 79, comma 1bis</t>
  </si>
  <si>
    <t>Differenziali B1-B3 e D1-D3 conseguenti all'eliminazione delle posizioni intermedie B3 e D3</t>
  </si>
  <si>
    <t>C</t>
  </si>
  <si>
    <t>Applicazione  CCNL 2018, art. 67, comma 2, lettera b)</t>
  </si>
  <si>
    <t>Incremento mensile a regime (1.3.2018)</t>
  </si>
  <si>
    <t>Dipendenti in servizio all'1.3.2018</t>
  </si>
  <si>
    <t>Iniz.</t>
  </si>
  <si>
    <t>Indiv.</t>
  </si>
  <si>
    <t>Personale in servizio all'1.3.2018</t>
  </si>
  <si>
    <t>Personale in servizio al 31.12.2018</t>
  </si>
  <si>
    <t>Personale in servizio all'1.1.2021</t>
  </si>
  <si>
    <t>Applicazione art. 79, comma 1bis</t>
  </si>
  <si>
    <t>Posizione economica iniziale</t>
  </si>
  <si>
    <t>Accordo contrattuale e riferimento normativo</t>
  </si>
  <si>
    <t>Categoria</t>
  </si>
  <si>
    <t>A</t>
  </si>
  <si>
    <t>A.1</t>
  </si>
  <si>
    <t>A.2</t>
  </si>
  <si>
    <t>A.3</t>
  </si>
  <si>
    <t>A.4</t>
  </si>
  <si>
    <t>A.5</t>
  </si>
  <si>
    <t>A.6</t>
  </si>
  <si>
    <t>B</t>
  </si>
  <si>
    <t>B.1</t>
  </si>
  <si>
    <t>B.2</t>
  </si>
  <si>
    <t>B.3</t>
  </si>
  <si>
    <t>B.4</t>
  </si>
  <si>
    <t>B.5</t>
  </si>
  <si>
    <t>B.6</t>
  </si>
  <si>
    <t>B.7</t>
  </si>
  <si>
    <t>B.8</t>
  </si>
  <si>
    <t>C.1</t>
  </si>
  <si>
    <t>C.2</t>
  </si>
  <si>
    <t>C.3</t>
  </si>
  <si>
    <t>C.4</t>
  </si>
  <si>
    <t>C.5</t>
  </si>
  <si>
    <t>C.6</t>
  </si>
  <si>
    <t>D</t>
  </si>
  <si>
    <t>D.1</t>
  </si>
  <si>
    <t>D.2</t>
  </si>
  <si>
    <t>D.3</t>
  </si>
  <si>
    <t>D.4</t>
  </si>
  <si>
    <t>D.5</t>
  </si>
  <si>
    <t>D.6</t>
  </si>
  <si>
    <t>D.7</t>
  </si>
  <si>
    <t>C.c.n.l. 16.11.2022</t>
  </si>
  <si>
    <t>Risorse CCNL 2018, art. 67, comma 2.e) - oneri personale trasferito (pari a riduzione ente provenienza)</t>
  </si>
  <si>
    <t>CCNL 21.5.2018, art. 67, comma 2.b (differenziali)</t>
  </si>
  <si>
    <t>CCNL 16.11.2022, art. 79, comma 1.b (incremento 84,50)</t>
  </si>
  <si>
    <t>CCNL 16.11.2022, art. 79, comma 1.d (differenziali)</t>
  </si>
  <si>
    <t>Differenziale annuo rispetto al tabellare iniziale (compreso 13ª)</t>
  </si>
  <si>
    <t>totale</t>
  </si>
  <si>
    <t>Fondo risorse decentrate anno 2023 - Risorse stabili</t>
  </si>
  <si>
    <t>totali</t>
  </si>
  <si>
    <t>Totale fondo 2023 risorse stabili</t>
  </si>
  <si>
    <t>Fondo risorse decentrate anno 2023 - Risorse variabili</t>
  </si>
  <si>
    <t>Risorse CCNL 2018, art. 67, comma 3.a) - L. 449/1997, contratti sponsorizzazione e collaborazione</t>
  </si>
  <si>
    <t>Risorse CCNL 2018, art. 67, comma 3.b) - DL 98/2011, risparmi per misure di razionalizzazione</t>
  </si>
  <si>
    <t>Risorse CCNL 2018, art. 67, comma 3.d) - frazioni annue di retribuzione di anzianità personale cessato</t>
  </si>
  <si>
    <t>Risorse CCNL 2018, art. 67, comma 3.f) - quota introiti per notifiche atti amministrazione finanziaria</t>
  </si>
  <si>
    <t xml:space="preserve">Risorse CCNL 2018, art. 67, comma 3.k) - frazione annua oneri personale trasferito </t>
  </si>
  <si>
    <t>Somme non utilizzate nell'anno precedente per la remunerazione del lavoro straordinario</t>
  </si>
  <si>
    <t>CCNL 16.11.2022, art. 79, comma 3</t>
  </si>
  <si>
    <t>Incremento dell'1,2 % del monte salari dell’anno 1997 (in assenza di situazioni di deficit o dissesto)</t>
  </si>
  <si>
    <t>Adeguamento della disponibilità del fondo sulla base di scelte organizzative, gestionali e di politica retributiva (in assenza di situazioni di deficit o dissesto)</t>
  </si>
  <si>
    <t>CCNL 16.11.2022, art. 79, comma 2.c e 4</t>
  </si>
  <si>
    <t>CCNL 16.11.2022, art. 79, comma 2.b e 4</t>
  </si>
  <si>
    <t>CCNL 16.11.2022, art. 79, comma 1.a</t>
  </si>
  <si>
    <t>CCNL 16.11.2022, art. 79, comma 1.b</t>
  </si>
  <si>
    <t>CCNL 16.11.2022, art. 79, comma 1.c</t>
  </si>
  <si>
    <t>CCNL 16.11.2022, art. 79, comma 1.d</t>
  </si>
  <si>
    <t>CCNL 16.11.2022, art. 79, comma 1.b e 5</t>
  </si>
  <si>
    <t>CCNL 16.11.2022, art. 79, comma 2.a</t>
  </si>
  <si>
    <t>CCNL 16.11.2022, art. 79, comma 2.d</t>
  </si>
  <si>
    <t>CCNL 16.11.2022, art. 79, comma 6</t>
  </si>
  <si>
    <t>Totale fondo 2023 risorse variabili</t>
  </si>
  <si>
    <t>Personale in servizio al 31.12.2015</t>
  </si>
  <si>
    <t>CCNL 21.5.2018, art. 67, comma 2.a (incremento 83,20)</t>
  </si>
  <si>
    <t>Risorse CCNL 2018, art. 67, comma 3.c):</t>
  </si>
  <si>
    <t>Fondo retribuzione di posizione e di risultato titolari di EQ anno 2023</t>
  </si>
  <si>
    <t>CCNL 22.1.2004, art. 31, comma 5</t>
  </si>
  <si>
    <t>Riassegnazione delle somme non utilizzate nell'esercizio precedente</t>
  </si>
  <si>
    <t>.-» L. 30.12.2018, n. 145, art. 1, comma 1091 - Incentivi per recupero evazione tributaria</t>
  </si>
  <si>
    <t>.-» DLGS 31.3.2023, n. 36, art. 45 - Incentivi per funzioni tecniche</t>
  </si>
  <si>
    <t>.-» DL 30.9.2003 n. 269, art. 32, comma 40 - Incentivi su introiti per condono edilizio</t>
  </si>
  <si>
    <t>.-» DL 24.6.2014, n. 90, art. 9, comma 3 - Quota su recupero spese legali per sentenze favorevoli all'ente</t>
  </si>
  <si>
    <t>.-» CCNL 21.5.2018, art. 70-ter - Compensi finanziati con contributi ISTAT</t>
  </si>
  <si>
    <t>Qualifica</t>
  </si>
  <si>
    <t>A031 - R.I.A.</t>
  </si>
  <si>
    <t>Totale</t>
  </si>
  <si>
    <t>Quota proporzionale dell'incremento dello 0,22% del monte salari 2018 - L. 234/2021, art. 1, comma 604</t>
  </si>
  <si>
    <t>Risorse CCNL 2018, art. 67, comma 2.b) - differenziali incrementi a regime (dall'1.3.2018)</t>
  </si>
  <si>
    <t>CCNL 21.5.2018, art. 17 e art. 15, commi 2 e 4</t>
  </si>
  <si>
    <t>CCNL 16.11.2022, art. 19, comma 1, e art. 17, commi 2 e 4</t>
  </si>
  <si>
    <t>Differenziale maggiore importo massimo (18.000) della retribuzione di posizione</t>
  </si>
  <si>
    <t>Ammontare massimo della retribuzione di posizione (16.000) per le posizioni organiche apicali (n. 6)</t>
  </si>
  <si>
    <t>Ammontare minimo (15%) del fondo per la retribuzione di risultato per le posizioni organiche apicali (n. 6)</t>
  </si>
  <si>
    <t>Differenziale maggiore importo minimo della retribuzione di risultato (15%)</t>
  </si>
  <si>
    <t>Totale fondo 2023 per la retribuzione di posizione e di risultato titolari EQ</t>
  </si>
  <si>
    <t>Fondo risorse stabili</t>
  </si>
  <si>
    <t>Fondo risorse variabili</t>
  </si>
  <si>
    <t>Fondo per la retribuzione di posizione e di risultato titolari EQ</t>
  </si>
  <si>
    <t>Ammontare complessivo trattamento accessorio personale dipendente</t>
  </si>
  <si>
    <t>Fondo per il lavoro straordinario (rif. det. 101 del 22.11.2022)</t>
  </si>
  <si>
    <t>Somme già in bilancio a titolo di:</t>
  </si>
  <si>
    <t>.---» Differenziali per posizioni economiche</t>
  </si>
  <si>
    <t>.---» Indennità di comparto a carico del fondo</t>
  </si>
  <si>
    <t>Riepilogo fondi anno 2023 e stanziamento di bilancio</t>
  </si>
  <si>
    <t>dipendente</t>
  </si>
  <si>
    <t>qualifica</t>
  </si>
  <si>
    <t>pos ini 2018</t>
  </si>
  <si>
    <t>pos ind 2018</t>
  </si>
  <si>
    <t>hh</t>
  </si>
  <si>
    <t>tab hidden</t>
  </si>
  <si>
    <t>mm</t>
  </si>
  <si>
    <t>tab. iniziale (CCNL 2022)</t>
  </si>
  <si>
    <t>PEO hidden A</t>
  </si>
  <si>
    <t>PEO hidden B</t>
  </si>
  <si>
    <t>PEO hidden C</t>
  </si>
  <si>
    <t>PEO hidden D</t>
  </si>
  <si>
    <t>RIA e ass. ad personam</t>
  </si>
  <si>
    <t>13ª</t>
  </si>
  <si>
    <t>Indennità 12 mesi</t>
  </si>
  <si>
    <t>ind. comp. BIL hidden</t>
  </si>
  <si>
    <t>ind. comp. FONDO hidden</t>
  </si>
  <si>
    <t>ind. comp. BIL</t>
  </si>
  <si>
    <t>ind. comp. FONDO</t>
  </si>
  <si>
    <t xml:space="preserve">Una tantum art. 1 c. 332 L. 197 del 2022 </t>
  </si>
  <si>
    <t>Annualità 2023</t>
  </si>
  <si>
    <t>istr. amm.</t>
  </si>
  <si>
    <t>Voci stipendiali</t>
  </si>
  <si>
    <t>spesa complessiva</t>
  </si>
  <si>
    <t>Tabellare iniziale</t>
  </si>
  <si>
    <t>PEO</t>
  </si>
  <si>
    <t>RIA e anz.</t>
  </si>
  <si>
    <t>Indennità vacanza contr.</t>
  </si>
  <si>
    <t>13ª mensilità</t>
  </si>
  <si>
    <t>RTB pos/ris e ind. mm 12</t>
  </si>
  <si>
    <t>Ind comparto su BIL</t>
  </si>
  <si>
    <t>Ind comparto su FONDO</t>
  </si>
  <si>
    <t>Una tantum L. 197/2022</t>
  </si>
  <si>
    <t>Totale lordo</t>
  </si>
  <si>
    <t>.-» DLGS 30.4.1992. n. 285, art. 208 - Incentivi finanziati con parte introiti sanzioni amministrative</t>
  </si>
  <si>
    <t>Somme disponibili per la contrattazione</t>
  </si>
  <si>
    <t>Risorse stabili al netto delle somme già in bilancio per posizioni economiche e indennità di comparto</t>
  </si>
  <si>
    <t>Risorse variabili</t>
  </si>
  <si>
    <t>Ammontare trattamento economico accessorio (netto) da stanziare in bilancio</t>
  </si>
  <si>
    <t>Argenio Carmine</t>
  </si>
  <si>
    <t>Barbarisi Gaetano</t>
  </si>
  <si>
    <t>Brosca Arturo</t>
  </si>
  <si>
    <t>Dello Russo Luigi</t>
  </si>
  <si>
    <t>Palmese Carmine</t>
  </si>
  <si>
    <t>Sarpa Pietro</t>
  </si>
  <si>
    <t>Caravecchia Salvatore</t>
  </si>
  <si>
    <t>Ruggiero Salvatore</t>
  </si>
  <si>
    <t>Tulimiero Antonio</t>
  </si>
  <si>
    <t>De Angelis Luigi</t>
  </si>
  <si>
    <t>Ciampi Angelo Sergio</t>
  </si>
  <si>
    <t>D'Argenio Ciro</t>
  </si>
  <si>
    <t>Matarazzo Carmine</t>
  </si>
  <si>
    <t>Ciampa Antonietta</t>
  </si>
  <si>
    <t>Tabellari 1-1-2021</t>
  </si>
  <si>
    <t>annui</t>
  </si>
  <si>
    <t>mensili</t>
  </si>
  <si>
    <t>Differenziale annuo B1-B3 e D1-D3</t>
  </si>
  <si>
    <t>Tabellari 1-1-2023</t>
  </si>
  <si>
    <t>Differenziale storico</t>
  </si>
  <si>
    <t>Dello Russo Giuseppina</t>
  </si>
  <si>
    <t>Lacerenza Nadia</t>
  </si>
  <si>
    <t>Perna Rosa</t>
  </si>
  <si>
    <t>Terranova Rita</t>
  </si>
  <si>
    <t>Venezia Giuseppe</t>
  </si>
  <si>
    <t>Vacca Maria</t>
  </si>
  <si>
    <t>Di Grezia Fiorentino</t>
  </si>
  <si>
    <t>Di Paola Maria</t>
  </si>
  <si>
    <t>Romano Anna</t>
  </si>
  <si>
    <t>Valentino Sabato</t>
  </si>
  <si>
    <t>Corrado Micheleluigi</t>
  </si>
  <si>
    <t>Criscitiello Maria Colomba</t>
  </si>
  <si>
    <t>De Angelis Francesco</t>
  </si>
  <si>
    <t>Di Grezia Flaviano</t>
  </si>
  <si>
    <t>Di Grezia Michele</t>
  </si>
  <si>
    <t>Valente Raffaele</t>
  </si>
  <si>
    <t>Argenziano Emilia</t>
  </si>
  <si>
    <t>Criscitiello Modestino</t>
  </si>
  <si>
    <t>Di Biase Tullio</t>
  </si>
  <si>
    <t>Dello Russo Angelo</t>
  </si>
  <si>
    <t>Di Gaeta Giacoma</t>
  </si>
  <si>
    <t>Di Gaeta Giuseppe</t>
  </si>
  <si>
    <t>Di Lisi Anna</t>
  </si>
  <si>
    <t>Nappo Caterina</t>
  </si>
  <si>
    <t>Romano Giovanni</t>
  </si>
  <si>
    <t>Romano Pasqualina</t>
  </si>
  <si>
    <t>Ruocco Orazio</t>
  </si>
  <si>
    <t>Di Gaeta Paolo</t>
  </si>
  <si>
    <t>Morisco Vincenzo</t>
  </si>
  <si>
    <t>Leo Michele</t>
  </si>
  <si>
    <t>Limone Ettore</t>
  </si>
  <si>
    <t>Pacilio Remo</t>
  </si>
  <si>
    <t>Argenziano Marianna</t>
  </si>
  <si>
    <t>Como Brunella</t>
  </si>
  <si>
    <t>Damiano Maria</t>
  </si>
  <si>
    <t>De Angelis Antonio</t>
  </si>
  <si>
    <t>Marinelli Claudio</t>
  </si>
  <si>
    <t>Grieco Alfonsina</t>
  </si>
  <si>
    <t>Ex categoria</t>
  </si>
  <si>
    <t>Ripartizione fondo risorse decentrate anno 2022 - CDI 2022</t>
  </si>
  <si>
    <t>Istituti contrattuali (rif. CDI)</t>
  </si>
  <si>
    <t>art. 5 - Differenziali progressioni in atto</t>
  </si>
  <si>
    <t>art. 5 - Indennità comparto su fondo</t>
  </si>
  <si>
    <t>aer. 7 - Progressioni orizzontali</t>
  </si>
  <si>
    <t>art. 8.b - Indennità di disagio</t>
  </si>
  <si>
    <t>art. 8.a - Indennità di rischio</t>
  </si>
  <si>
    <t>art. 8.c - Indennità per maneggio valori</t>
  </si>
  <si>
    <t>art. 9 - Indennità specifiche responsabilità</t>
  </si>
  <si>
    <t>art. 11 - Compensi messi notificatori (75%)</t>
  </si>
  <si>
    <t>art. 12.a - Proventi derivanti da sponsorizzazioni</t>
  </si>
  <si>
    <t xml:space="preserve">art. 12.b - Proventi da convenzioni per servizi </t>
  </si>
  <si>
    <t>art. 12.c - contributi per servizi non essenziali</t>
  </si>
  <si>
    <t>art. 13.a - Incentivi per funzioni tecniche</t>
  </si>
  <si>
    <t>art. 13.b - Incentivi per recupero evasione IMU</t>
  </si>
  <si>
    <t>art. 13.c - Istruttoria condono edilizio</t>
  </si>
  <si>
    <t>art. 13.d - Risorse eterofinanziate</t>
  </si>
  <si>
    <t>art. 14 - Risorse da economie aggiuntive</t>
  </si>
  <si>
    <t xml:space="preserve">art. 15 - Performance </t>
  </si>
  <si>
    <t>art. 17 - Straordinario PM finanziato da privati</t>
  </si>
  <si>
    <t>art. 18 - Indennità servizio esterno PM</t>
  </si>
  <si>
    <t>art. 19 - Indennità di funzione PM</t>
  </si>
  <si>
    <t>art. 20 - Reperibilità PM</t>
  </si>
  <si>
    <t>art. 20 - Reperibilità Servizi demografici</t>
  </si>
  <si>
    <t>art. 20 - Reperibilità Servizi tecnici</t>
  </si>
  <si>
    <t>art. 21 - Indennità di turno</t>
  </si>
  <si>
    <t>art. 22 - Fondo lavoro straordinario</t>
  </si>
  <si>
    <t>det. Urbanistica n. 248/2022</t>
  </si>
  <si>
    <t>det. Urbanistica n. 173/2022</t>
  </si>
  <si>
    <t xml:space="preserve">det. Comando PM n. 49/2022 </t>
  </si>
  <si>
    <t xml:space="preserve">det. Comando PM n. 214/2022 </t>
  </si>
  <si>
    <t xml:space="preserve">det. Comando PM n. 564/2022 </t>
  </si>
  <si>
    <t xml:space="preserve">det. Comando PM n. 655/2022 </t>
  </si>
  <si>
    <t xml:space="preserve">det. Comando PM n. 18/2023 </t>
  </si>
  <si>
    <t xml:space="preserve">det. Comando PM n. 254/2023 </t>
  </si>
  <si>
    <t>det. Settore amministrativo n. 48/2022</t>
  </si>
  <si>
    <t>note o atto di riferimento</t>
  </si>
  <si>
    <t>det. Settore amministrativo n. 241/2022</t>
  </si>
  <si>
    <t>det. Servizi finanziari n. 19/2022</t>
  </si>
  <si>
    <t>det. Servizi finanziari n. 19/2022, Balestra</t>
  </si>
  <si>
    <t>det. Servizi finanziari n. 19/2022, Ciampa e Di Gaeta</t>
  </si>
  <si>
    <t>det. Servizi demografici n. 3/2023</t>
  </si>
  <si>
    <t>det. Servizi demografici n. 28/2022</t>
  </si>
  <si>
    <t>det. Servizi demografici n. 238/2023</t>
  </si>
  <si>
    <t>det. Lavori pubblici n. 26/2022</t>
  </si>
  <si>
    <t>nota Urbanistica n. 23689/2022, Califano</t>
  </si>
  <si>
    <t>nota Urbanistica n. 23689/2022, Sabino</t>
  </si>
  <si>
    <t>art. 10 - Indennità specifiche responsabilità (let. i)</t>
  </si>
  <si>
    <t>Posizione iniziale</t>
  </si>
  <si>
    <t>Posizione economica individuale</t>
  </si>
  <si>
    <t>Personale nelle posizioni economiche</t>
  </si>
  <si>
    <t>Segretario comunale</t>
  </si>
  <si>
    <t>A015 - Stipendi</t>
  </si>
  <si>
    <t>A032 - Progressione per classi e scatti/fasce retributive</t>
  </si>
  <si>
    <t>A035 - 13ª mensilità</t>
  </si>
  <si>
    <t>A045 - Arretrati anni precedenti</t>
  </si>
  <si>
    <t>A070 - Recuperi per riterdi e assenze</t>
  </si>
  <si>
    <t>I422 - Indennità vacanza contrattuale</t>
  </si>
  <si>
    <t>I125 - Indenità di vigilanza</t>
  </si>
  <si>
    <t>I143 - Personale scolastico</t>
  </si>
  <si>
    <t>I207 - Retribuzione di posizione</t>
  </si>
  <si>
    <t>I212 - Retribuzione di risultato</t>
  </si>
  <si>
    <t>I222 - Indennità di comparto</t>
  </si>
  <si>
    <t>I418 - Assegno ad personam</t>
  </si>
  <si>
    <t>I424 - Indennità congedo parentale</t>
  </si>
  <si>
    <t>S190 - Indennità di staff</t>
  </si>
  <si>
    <t>S604 - Compensi per oneri rischi e disagi</t>
  </si>
  <si>
    <t>S615 - Indennità specifiche responsabilità</t>
  </si>
  <si>
    <t>S630 - Compensi produttività</t>
  </si>
  <si>
    <t>S720 - Incentifi funzioni tecniche</t>
  </si>
  <si>
    <t>Diritti di rogito / segreteria a scavalco</t>
  </si>
  <si>
    <t>S750 - Onorari avvocati</t>
  </si>
  <si>
    <t>S761 - Competenze personale comandato/distaccato presso l'ente</t>
  </si>
  <si>
    <t>S770 - Elemento perequativo</t>
  </si>
  <si>
    <t>S771 - Indennità di funzione</t>
  </si>
  <si>
    <t>S999 - Altre spese accessorie e indennità varie</t>
  </si>
  <si>
    <t>T101 - Straordinario</t>
  </si>
  <si>
    <t>Arretrati anni precedenti</t>
  </si>
  <si>
    <t>corrisposta con lo stipendio</t>
  </si>
  <si>
    <t>det. Lavori pubblici n. 246/2022</t>
  </si>
  <si>
    <t xml:space="preserve">det. Comando PM n. 104/2022 </t>
  </si>
  <si>
    <t>dipendente cessato</t>
  </si>
  <si>
    <t>RIA</t>
  </si>
  <si>
    <t>data cessazione</t>
  </si>
  <si>
    <t>stab</t>
  </si>
  <si>
    <t>var</t>
  </si>
  <si>
    <t>Fondo risorse stabili anno 2016 (nota 9622 del 17.5.2016)</t>
  </si>
  <si>
    <t>Incremento 5% risorse stabili 2016 (nota n. 9622 del 17.5.2016)</t>
  </si>
  <si>
    <t>Fondo risorse variabili anno 2016 (nota 9622 del 17.5.2016)</t>
  </si>
  <si>
    <r>
      <t xml:space="preserve">Costi unitari in base ai valori stipendiali del CCNL del 22 gennaio 2004 a regime </t>
    </r>
    <r>
      <rPr>
        <i/>
        <sz val="12"/>
        <rFont val="Garamond"/>
        <family val="1"/>
      </rPr>
      <t>(in vigore al 31 dicembre 2004)</t>
    </r>
  </si>
  <si>
    <t>cat. A</t>
  </si>
  <si>
    <t>cat. B.1</t>
  </si>
  <si>
    <t>cat. B.3</t>
  </si>
  <si>
    <t>cat. C</t>
  </si>
  <si>
    <t>cat. C PM</t>
  </si>
  <si>
    <t>cat. D.1</t>
  </si>
  <si>
    <t>cat. D.1 PM</t>
  </si>
  <si>
    <t>cat. D.3</t>
  </si>
  <si>
    <t>cat. D.3 PM</t>
  </si>
  <si>
    <t>a) Trattamento economico annuo lordo</t>
  </si>
  <si>
    <t>Tabellare</t>
  </si>
  <si>
    <t>Indennità fisse</t>
  </si>
  <si>
    <t>Ind. comparto</t>
  </si>
  <si>
    <t>b) Oneri riflessi</t>
  </si>
  <si>
    <t>INPS ex CPDEL</t>
  </si>
  <si>
    <t>INPS ex INADEL</t>
  </si>
  <si>
    <t>INAIL</t>
  </si>
  <si>
    <t>c) IRAP</t>
  </si>
  <si>
    <t>d) Costi unitari (a+b+c)</t>
  </si>
  <si>
    <t xml:space="preserve">Note  </t>
  </si>
  <si>
    <t>I costi unitari, qui determinati in base a stipendi tabellari e indennità fisse di cui al CCNL del 22 gennaio 2004, sono funzionali al calcolo dei "resti" ed alla verifica dei limiti di spesa di cui all'art. 1, comma 557-quater, della legge 27 dicembre 2006, n. 296.</t>
  </si>
  <si>
    <t>Ai sensi dell'art. 1, comma 199 lettera b), della legge 23 dicembre 2005, n. 266, il calcolo dei "resti" viene effettuato in base ai valori stipendiali del CCNL del 22 gennaio 2004 vigenti alla data del 31 dicembre 2004 .</t>
  </si>
  <si>
    <t xml:space="preserve">Per omogenità di calcolo, la verifica viene effettuati sulla base dei predetti valori stipendiali e secondo lo schema approvato dalla Corte dei conti, Sezione autonomie, con deliberazione n. 13 del 9 marzo 2015.   </t>
  </si>
  <si>
    <r>
      <t xml:space="preserve">Valori stipendiali anno 2004 </t>
    </r>
    <r>
      <rPr>
        <i/>
        <sz val="12"/>
        <rFont val="Garamond"/>
        <family val="1"/>
      </rPr>
      <t>(Stipendi tabellari del CCNL del 22 gennaio 2004)</t>
    </r>
  </si>
  <si>
    <t>Tabellari</t>
  </si>
  <si>
    <t>differenziale PEO</t>
  </si>
  <si>
    <t>I valori stipendiali in tabella sono quelli del CCNL del 22 gennaio 2004, funzionali al calcolo degli incrementi stipendiali</t>
  </si>
  <si>
    <t>I valori differenziali PEO rispetto all'iniziale D.3 (siccome soppresso) riguardano solo il personale in servizio.</t>
  </si>
  <si>
    <t>Costi unitari in base ai valori stipendiali del CCNL del 21 maggio 2018</t>
  </si>
  <si>
    <t>I costi unitari in tabella sono determinati in base a stipendi tabellari e indennità di comparto di cui al CCNL del 21 maggio 2018.</t>
  </si>
  <si>
    <t>In valori in tabella, in quanto attuali, sono funzionali alla determinazione della previsione di spesa.</t>
  </si>
  <si>
    <r>
      <t xml:space="preserve">Valori stipendiali anno 2019 </t>
    </r>
    <r>
      <rPr>
        <i/>
        <sz val="12"/>
        <rFont val="Garamond"/>
        <family val="1"/>
      </rPr>
      <t>(Stipendi tabellari del CCNL del 21 maggio 2018)</t>
    </r>
  </si>
  <si>
    <t>I valori stipendiali della tabella sono quelli risultanti dal CCNL del 21 maggio 2018, già a regime.</t>
  </si>
  <si>
    <t>IVC 2019 - 2022 su valori 2018</t>
  </si>
  <si>
    <t>Anno 2019</t>
  </si>
  <si>
    <t>Anno 2022</t>
  </si>
  <si>
    <r>
      <t xml:space="preserve">Valori stipendiali mensili anno 2019 </t>
    </r>
    <r>
      <rPr>
        <i/>
        <sz val="12"/>
        <rFont val="Garamond"/>
        <family val="1"/>
      </rPr>
      <t>(Stipendi tabellari del CCNL del 21 maggio 2018)</t>
    </r>
  </si>
  <si>
    <t>C.c.n.l. 16-11-2022 - Valori stipendiali anno 2019</t>
  </si>
  <si>
    <t>C.c.n.l. 16-11-2022 - Valori stipendiali anno 2020</t>
  </si>
  <si>
    <t>C.c.n.l. 16-11-2022 - Valori stipendiali anno 2021</t>
  </si>
  <si>
    <t>I valori stipendiali della tabella sono quelli risultanti dal rinnovo del CCNL che, quindi, è già a regime.</t>
  </si>
  <si>
    <t>IVC 2022 su valori 2021</t>
  </si>
  <si>
    <t>C.c.n.l. 16-11-2022 - Valori stipendiali anno 2023 (conglobamento EP)</t>
  </si>
  <si>
    <t>Tabellari 2023</t>
  </si>
  <si>
    <t>EP conglob</t>
  </si>
  <si>
    <t>C.c.n.l. 16-11-2022 - Valori stipendiali mensili</t>
  </si>
  <si>
    <t>Tabellari mensili</t>
  </si>
  <si>
    <t>I valori stipendiali della tabella sono quelli risultanti dall'ipotesi di rinnovo del CCNL che, quindi, è già a regime.</t>
  </si>
  <si>
    <t>Valori stipendiali anno 2020 - indennità ed altri emolumenti annui fissi</t>
  </si>
  <si>
    <t>Indennità di comparto</t>
  </si>
  <si>
    <t>Complessiva</t>
  </si>
  <si>
    <t>Elemento perequativo</t>
  </si>
  <si>
    <t>su BIL</t>
  </si>
  <si>
    <t>su FONDO</t>
  </si>
  <si>
    <t>Indenità per i profili dell'area della vigilanza di cat. C e D</t>
  </si>
  <si>
    <t>Importo annuo</t>
  </si>
  <si>
    <t>Senza qualifica agente PS</t>
  </si>
  <si>
    <t>Con qualifica di agente PS</t>
  </si>
  <si>
    <t>Indennità di qualifica</t>
  </si>
  <si>
    <t>L'indennità di qualifica spetta al solo personale delle ex qualifiche funzionali 3ª e 4ª.</t>
  </si>
  <si>
    <t>Tutte le indennità sono imponibili INPS ex CPDEL, INAIL e IRAP.</t>
  </si>
  <si>
    <t>Sono imponibili ai fini TFS e TFR le sole indennità dell'area della vigilanza e l'indennità di qualifica.</t>
  </si>
  <si>
    <t>Decreto-legge 30 aprile 2019, n. 34 - art. 33</t>
  </si>
  <si>
    <t>DM 17 marzo 2020</t>
  </si>
  <si>
    <t>Fasce demografiche dei comuni (per numero di abitanti)</t>
  </si>
  <si>
    <t>Tabella 1</t>
  </si>
  <si>
    <t>Tabella 3</t>
  </si>
  <si>
    <t>valore soglia</t>
  </si>
  <si>
    <t>valore soglia di rientro</t>
  </si>
  <si>
    <t>a)</t>
  </si>
  <si>
    <t>fino a 999 abitanti</t>
  </si>
  <si>
    <t>b)</t>
  </si>
  <si>
    <t>da  1.000 a 1.999 abitanti</t>
  </si>
  <si>
    <t>c)</t>
  </si>
  <si>
    <t>da 2.000 a 2.999 abitanti</t>
  </si>
  <si>
    <t>d)</t>
  </si>
  <si>
    <t>da 3.000 a 4.999 abitanti</t>
  </si>
  <si>
    <t>e)</t>
  </si>
  <si>
    <t>da 5.000 a 9.999 abitanti</t>
  </si>
  <si>
    <t>f)</t>
  </si>
  <si>
    <t>da 10.000 a 59.999 abitanti</t>
  </si>
  <si>
    <t>g)</t>
  </si>
  <si>
    <t>da 60.000 a 249.999 abitanti</t>
  </si>
  <si>
    <t>h)</t>
  </si>
  <si>
    <t>da 250.000 a 1.499.999 abitanti</t>
  </si>
  <si>
    <t>i)</t>
  </si>
  <si>
    <t>più di 1.499.000 abitanti</t>
  </si>
  <si>
    <t>Tabella 2</t>
  </si>
  <si>
    <t xml:space="preserve">fasce demografiche </t>
  </si>
  <si>
    <t>incrementi per annualità</t>
  </si>
  <si>
    <t>Art. 31-bis decreto-legge 6 novembre 2021, n. 152 - legge 29 dicembre 2021, n. 233</t>
  </si>
  <si>
    <t>aliquota</t>
  </si>
  <si>
    <t>meno di 1.000</t>
  </si>
  <si>
    <t>da 1.000 a 1.999</t>
  </si>
  <si>
    <t>da 2.000 a 2.999</t>
  </si>
  <si>
    <t>da 3.000 a 4.999</t>
  </si>
  <si>
    <t>da 5.000 a 9.999</t>
  </si>
  <si>
    <t>da 10.000 a 59.999</t>
  </si>
  <si>
    <t>da 60.000 a 249.999</t>
  </si>
  <si>
    <t>da 250.000 a 1.499.999</t>
  </si>
  <si>
    <t>1.500.000 e oltre</t>
  </si>
  <si>
    <t>istr. tec.</t>
  </si>
  <si>
    <t>Califano Anna</t>
  </si>
  <si>
    <t>Donnarumma Caterina</t>
  </si>
  <si>
    <t>dir. tec.</t>
  </si>
  <si>
    <t>Palma Sonia</t>
  </si>
  <si>
    <t>funz.</t>
  </si>
  <si>
    <t>istr. cont.</t>
  </si>
  <si>
    <t>ex PEO a carico FONDO</t>
  </si>
  <si>
    <t>collab.</t>
  </si>
  <si>
    <t>messo</t>
  </si>
  <si>
    <t>Lombardi Virginia</t>
  </si>
  <si>
    <t>operatore</t>
  </si>
  <si>
    <t>De Angelis Carmine</t>
  </si>
  <si>
    <t>op. esperto</t>
  </si>
  <si>
    <t>autista</t>
  </si>
  <si>
    <t>coll. prof.</t>
  </si>
  <si>
    <t>Marino Emilio</t>
  </si>
  <si>
    <t>dir. amm.</t>
  </si>
  <si>
    <t>Carbone Antonello</t>
  </si>
  <si>
    <t>agente PM</t>
  </si>
  <si>
    <t>Cucciniello Carmine</t>
  </si>
  <si>
    <t>istruttore</t>
  </si>
  <si>
    <t>Valente Angela</t>
  </si>
  <si>
    <t>collabor.</t>
  </si>
  <si>
    <t>Valente Teresa</t>
  </si>
  <si>
    <t>Manna Lucrezia</t>
  </si>
  <si>
    <t xml:space="preserve">operaio </t>
  </si>
  <si>
    <t>Valentino Sabino</t>
  </si>
  <si>
    <t>Giuggio Alfonso</t>
  </si>
  <si>
    <t>custode</t>
  </si>
  <si>
    <t>Corrado Michele Luigi</t>
  </si>
  <si>
    <t>centralin.</t>
  </si>
  <si>
    <t>De Biase Tullio</t>
  </si>
  <si>
    <t>IVC 2022 su valori 2023 secondo RGS</t>
  </si>
  <si>
    <t>Anno 2023</t>
  </si>
  <si>
    <t>IVC su stp 2023</t>
  </si>
  <si>
    <t>IVC 2023 A hidden</t>
  </si>
  <si>
    <t>IVC 2023 B hidden</t>
  </si>
  <si>
    <t>IVC 2023 C hidden</t>
  </si>
  <si>
    <t>IVC 2023 D hidden</t>
  </si>
  <si>
    <t>SETTORE</t>
  </si>
  <si>
    <t>posizione</t>
  </si>
  <si>
    <t>risultato</t>
  </si>
  <si>
    <t>anno 2016</t>
  </si>
  <si>
    <t>anno 2022</t>
  </si>
  <si>
    <t>1°</t>
  </si>
  <si>
    <t>2°</t>
  </si>
  <si>
    <t>3°</t>
  </si>
  <si>
    <t>4°</t>
  </si>
  <si>
    <t>5°</t>
  </si>
  <si>
    <t>6°</t>
  </si>
  <si>
    <t>Fondo per la retribuzione di posizione e di risultato anno 2016</t>
  </si>
  <si>
    <t>Incremento 5% risorse stabili 2016 (nota n. 9622 del 17.5.2016) ripartito proporzionalmente tra i fondi</t>
  </si>
  <si>
    <t>Fondo per retribuzioni di posizione e risultato</t>
  </si>
  <si>
    <t>Contratto decentrato economico anno 2022</t>
  </si>
  <si>
    <t>DL n. 34/2019, art. 33 comma 2</t>
  </si>
  <si>
    <t>Ulteriore abbattimento del fondo 2016 ex art. 33 del DL n. 34/2019 per variazione numero dipendenti</t>
  </si>
  <si>
    <t>L 41/2023, art. 8 comma 3</t>
  </si>
  <si>
    <t>Variazione numerica 2018-2023</t>
  </si>
  <si>
    <t>Variazione economica 2018-2023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</si>
</sst>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d\-m\-yyyy"/>
    <numFmt numFmtId="166" formatCode="0.0%"/>
  </numFmts>
  <fonts count="24" x14ac:knownFonts="1">
    <font>
      <sz val="10"/>
      <name val="Arial"/>
    </font>
    <font>
      <sz val="10"/>
      <name val="Garamond"/>
      <family val="1"/>
    </font>
    <font>
      <i/>
      <sz val="10"/>
      <name val="Garamond"/>
      <family val="1"/>
    </font>
    <font>
      <b/>
      <sz val="10"/>
      <name val="Garamond"/>
      <family val="1"/>
    </font>
    <font>
      <b/>
      <i/>
      <sz val="16"/>
      <name val="Garamond"/>
      <family val="1"/>
    </font>
    <font>
      <i/>
      <sz val="8"/>
      <name val="Garamond"/>
      <family val="1"/>
    </font>
    <font>
      <sz val="8"/>
      <name val="Garamond"/>
      <family val="1"/>
    </font>
    <font>
      <sz val="11"/>
      <name val="Calibri"/>
      <family val="2"/>
      <scheme val="minor"/>
    </font>
    <font>
      <b/>
      <i/>
      <sz val="8"/>
      <name val="Garamond"/>
      <family val="1"/>
    </font>
    <font>
      <b/>
      <sz val="10"/>
      <name val="Arial"/>
      <family val="2"/>
    </font>
    <font>
      <b/>
      <sz val="16"/>
      <name val="Garamond"/>
      <family val="1"/>
    </font>
    <font>
      <b/>
      <sz val="11"/>
      <name val="Calibri"/>
      <family val="2"/>
      <scheme val="minor"/>
    </font>
    <font>
      <b/>
      <sz val="8"/>
      <name val="Garamond"/>
      <family val="1"/>
    </font>
    <font>
      <sz val="10"/>
      <name val="Arial"/>
    </font>
    <font>
      <b/>
      <i/>
      <sz val="10"/>
      <name val="Garamond"/>
      <family val="1"/>
    </font>
    <font>
      <b/>
      <i/>
      <sz val="12"/>
      <name val="Garamond"/>
      <family val="1"/>
    </font>
    <font>
      <i/>
      <sz val="12"/>
      <name val="Garamond"/>
      <family val="1"/>
    </font>
    <font>
      <vertAlign val="superscript"/>
      <sz val="10"/>
      <name val="Garamond"/>
      <family val="1"/>
    </font>
    <font>
      <b/>
      <sz val="14"/>
      <name val="Garamond"/>
      <family val="1"/>
    </font>
    <font>
      <i/>
      <sz val="12"/>
      <color theme="1"/>
      <name val="Garamond"/>
      <family val="1"/>
    </font>
    <font>
      <b/>
      <i/>
      <sz val="12"/>
      <color theme="1"/>
      <name val="Garamond"/>
      <family val="1"/>
    </font>
    <font>
      <sz val="12"/>
      <color theme="1"/>
      <name val="Garamond"/>
      <family val="1"/>
    </font>
    <font>
      <b/>
      <sz val="12"/>
      <color theme="1"/>
      <name val="Garamond"/>
      <family val="1"/>
    </font>
    <font>
      <sz val="9"/>
      <color indexed="81"/>
      <name val="Garamond"/>
      <family val="1"/>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80">
    <border>
      <left/>
      <right/>
      <top/>
      <bottom/>
      <diagonal/>
    </border>
    <border>
      <left/>
      <right/>
      <top/>
      <bottom style="thin">
        <color indexed="64"/>
      </bottom>
      <diagonal/>
    </border>
    <border diagonalUp="1" diagonalDown="1">
      <left/>
      <right/>
      <top/>
      <bottom/>
      <diagonal style="thin">
        <color auto="1"/>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diagonalUp="1" diagonalDown="1">
      <left style="hair">
        <color indexed="64"/>
      </left>
      <right style="hair">
        <color indexed="64"/>
      </right>
      <top style="hair">
        <color indexed="64"/>
      </top>
      <bottom style="hair">
        <color indexed="64"/>
      </bottom>
      <diagonal style="hair">
        <color indexed="64"/>
      </diagonal>
    </border>
    <border diagonalUp="1" diagonalDown="1">
      <left style="hair">
        <color auto="1"/>
      </left>
      <right style="hair">
        <color auto="1"/>
      </right>
      <top style="hair">
        <color auto="1"/>
      </top>
      <bottom style="hair">
        <color auto="1"/>
      </bottom>
      <diagonal style="thin">
        <color auto="1"/>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diagonalDown="1">
      <left style="hair">
        <color auto="1"/>
      </left>
      <right style="hair">
        <color auto="1"/>
      </right>
      <top/>
      <bottom style="hair">
        <color auto="1"/>
      </bottom>
      <diagonal style="thin">
        <color auto="1"/>
      </diagonal>
    </border>
    <border>
      <left/>
      <right/>
      <top style="hair">
        <color auto="1"/>
      </top>
      <bottom style="hair">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diagonalUp="1" diagonalDown="1">
      <left style="hair">
        <color indexed="64"/>
      </left>
      <right style="hair">
        <color indexed="64"/>
      </right>
      <top/>
      <bottom style="hair">
        <color indexed="64"/>
      </bottom>
      <diagonal style="hair">
        <color indexed="64"/>
      </diagonal>
    </border>
    <border diagonalUp="1" diagonalDown="1">
      <left style="hair">
        <color indexed="64"/>
      </left>
      <right style="hair">
        <color indexed="64"/>
      </right>
      <top style="hair">
        <color indexed="64"/>
      </top>
      <bottom style="thin">
        <color indexed="64"/>
      </bottom>
      <diagonal style="hair">
        <color indexed="64"/>
      </diagonal>
    </border>
    <border diagonalUp="1" diagonalDown="1">
      <left style="hair">
        <color indexed="64"/>
      </left>
      <right style="hair">
        <color indexed="64"/>
      </right>
      <top style="hair">
        <color indexed="64"/>
      </top>
      <bottom style="thin">
        <color indexed="64"/>
      </bottom>
      <diagonal style="thin">
        <color auto="1"/>
      </diagonal>
    </border>
    <border>
      <left style="hair">
        <color indexed="64"/>
      </left>
      <right/>
      <top style="thin">
        <color indexed="64"/>
      </top>
      <bottom style="hair">
        <color indexed="64"/>
      </bottom>
      <diagonal/>
    </border>
    <border diagonalUp="1" diagonalDown="1">
      <left style="hair">
        <color indexed="64"/>
      </left>
      <right style="hair">
        <color indexed="64"/>
      </right>
      <top/>
      <bottom style="thin">
        <color indexed="64"/>
      </bottom>
      <diagonal style="hair">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auto="1"/>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auto="1"/>
      </bottom>
      <diagonal/>
    </border>
    <border diagonalUp="1" diagonalDown="1">
      <left/>
      <right style="hair">
        <color indexed="64"/>
      </right>
      <top style="hair">
        <color indexed="64"/>
      </top>
      <bottom style="hair">
        <color indexed="64"/>
      </bottom>
      <diagonal style="hair">
        <color indexed="64"/>
      </diagonal>
    </border>
    <border diagonalUp="1" diagonalDown="1">
      <left/>
      <right/>
      <top style="thin">
        <color indexed="64"/>
      </top>
      <bottom/>
      <diagonal style="thin">
        <color auto="1"/>
      </diagonal>
    </border>
    <border>
      <left/>
      <right/>
      <top style="hair">
        <color auto="1"/>
      </top>
      <bottom/>
      <diagonal/>
    </border>
    <border diagonalUp="1" diagonalDown="1">
      <left style="hair">
        <color indexed="64"/>
      </left>
      <right style="thin">
        <color indexed="64"/>
      </right>
      <top style="hair">
        <color indexed="64"/>
      </top>
      <bottom style="hair">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diagonalDown="1">
      <left style="hair">
        <color indexed="64"/>
      </left>
      <right style="thin">
        <color indexed="64"/>
      </right>
      <top style="hair">
        <color indexed="64"/>
      </top>
      <bottom style="thin">
        <color indexed="64"/>
      </bottom>
      <diagonal style="hair">
        <color indexed="64"/>
      </diagonal>
    </border>
    <border diagonalUp="1" diagonalDown="1">
      <left style="hair">
        <color indexed="64"/>
      </left>
      <right style="hair">
        <color indexed="64"/>
      </right>
      <top style="thin">
        <color indexed="64"/>
      </top>
      <bottom style="hair">
        <color indexed="64"/>
      </bottom>
      <diagonal style="hair">
        <color indexed="64"/>
      </diagonal>
    </border>
    <border diagonalUp="1" diagonalDown="1">
      <left style="hair">
        <color indexed="64"/>
      </left>
      <right style="thin">
        <color indexed="64"/>
      </right>
      <top/>
      <bottom style="hair">
        <color indexed="64"/>
      </bottom>
      <diagonal style="hair">
        <color indexed="64"/>
      </diagonal>
    </border>
    <border>
      <left/>
      <right style="thin">
        <color indexed="64"/>
      </right>
      <top/>
      <bottom/>
      <diagonal/>
    </border>
    <border>
      <left style="hair">
        <color indexed="64"/>
      </left>
      <right style="thin">
        <color indexed="64"/>
      </right>
      <top/>
      <bottom/>
      <diagonal/>
    </border>
    <border>
      <left/>
      <right style="hair">
        <color auto="1"/>
      </right>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auto="1"/>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diagonal/>
    </border>
    <border diagonalUp="1">
      <left/>
      <right/>
      <top/>
      <bottom/>
      <diagonal style="thin">
        <color auto="1"/>
      </diagonal>
    </border>
    <border>
      <left style="hair">
        <color indexed="64"/>
      </left>
      <right style="hair">
        <color indexed="64"/>
      </right>
      <top style="hair">
        <color indexed="64"/>
      </top>
      <bottom/>
      <diagonal/>
    </border>
  </borders>
  <cellStyleXfs count="2">
    <xf numFmtId="0" fontId="0" fillId="0" borderId="0"/>
    <xf numFmtId="164" fontId="13" fillId="0" borderId="0" applyFont="0" applyFill="0" applyBorder="0" applyAlignment="0" applyProtection="0"/>
  </cellStyleXfs>
  <cellXfs count="448">
    <xf numFmtId="0" fontId="0" fillId="0" borderId="0" xfId="0"/>
    <xf numFmtId="0" fontId="3"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 fillId="0" borderId="0" xfId="0" applyFont="1" applyAlignment="1">
      <alignment horizontal="left" vertical="center"/>
    </xf>
    <xf numFmtId="4" fontId="1" fillId="0" borderId="0" xfId="0" applyNumberFormat="1" applyFont="1" applyAlignment="1">
      <alignment horizontal="center" vertical="center"/>
    </xf>
    <xf numFmtId="4" fontId="1" fillId="0" borderId="0" xfId="0" applyNumberFormat="1" applyFont="1" applyAlignment="1">
      <alignment horizontal="right" vertical="center" indent="1"/>
    </xf>
    <xf numFmtId="0" fontId="2"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vertical="center" wrapText="1"/>
    </xf>
    <xf numFmtId="4" fontId="1" fillId="0" borderId="0" xfId="0" applyNumberFormat="1" applyFont="1" applyAlignment="1">
      <alignment vertical="center" wrapText="1"/>
    </xf>
    <xf numFmtId="4" fontId="1" fillId="0" borderId="0" xfId="0" applyNumberFormat="1" applyFont="1" applyAlignment="1">
      <alignment horizontal="center" vertical="center" wrapText="1"/>
    </xf>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4"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7" fillId="0" borderId="0" xfId="0" applyFont="1"/>
    <xf numFmtId="0" fontId="0" fillId="0" borderId="0" xfId="0" applyAlignment="1">
      <alignment horizontal="center"/>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xf numFmtId="0" fontId="1" fillId="0" borderId="8" xfId="0" applyFont="1" applyBorder="1" applyAlignment="1">
      <alignment horizontal="center"/>
    </xf>
    <xf numFmtId="0" fontId="1" fillId="0" borderId="9" xfId="0" applyFont="1" applyBorder="1" applyAlignment="1">
      <alignment horizontal="center"/>
    </xf>
    <xf numFmtId="4" fontId="1" fillId="0" borderId="3" xfId="0" applyNumberFormat="1" applyFont="1" applyBorder="1"/>
    <xf numFmtId="0" fontId="1" fillId="0" borderId="3" xfId="0" applyFont="1" applyBorder="1" applyAlignment="1">
      <alignment horizontal="center"/>
    </xf>
    <xf numFmtId="4" fontId="1" fillId="0" borderId="6" xfId="0" applyNumberFormat="1" applyFont="1" applyBorder="1"/>
    <xf numFmtId="4" fontId="1" fillId="0" borderId="11" xfId="0" applyNumberFormat="1" applyFont="1" applyBorder="1"/>
    <xf numFmtId="0" fontId="1" fillId="0" borderId="0" xfId="0" applyFont="1" applyAlignment="1">
      <alignment horizontal="center"/>
    </xf>
    <xf numFmtId="0" fontId="1" fillId="0" borderId="6" xfId="0" applyFont="1" applyBorder="1" applyAlignment="1">
      <alignment horizontal="center"/>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xf numFmtId="0" fontId="5" fillId="3" borderId="1" xfId="0" applyFont="1" applyFill="1" applyBorder="1" applyAlignment="1">
      <alignment horizontal="center" vertical="center" wrapText="1"/>
    </xf>
    <xf numFmtId="1" fontId="1" fillId="0" borderId="0" xfId="0" applyNumberFormat="1" applyFont="1" applyAlignment="1">
      <alignment horizontal="center" vertical="center" wrapText="1"/>
    </xf>
    <xf numFmtId="0" fontId="1" fillId="0" borderId="3" xfId="0" applyFont="1" applyBorder="1" applyAlignment="1">
      <alignment vertical="center" wrapText="1"/>
    </xf>
    <xf numFmtId="4" fontId="1" fillId="0" borderId="3" xfId="0" applyNumberFormat="1" applyFont="1" applyBorder="1" applyAlignment="1">
      <alignment horizontal="right" vertical="center" indent="1"/>
    </xf>
    <xf numFmtId="4" fontId="1" fillId="0" borderId="3" xfId="0" applyNumberFormat="1" applyFont="1" applyBorder="1" applyAlignment="1">
      <alignment vertical="center" wrapText="1"/>
    </xf>
    <xf numFmtId="4" fontId="1" fillId="0" borderId="12" xfId="0" applyNumberFormat="1" applyFont="1" applyBorder="1" applyAlignment="1">
      <alignment vertical="center" wrapText="1"/>
    </xf>
    <xf numFmtId="4" fontId="1" fillId="0" borderId="13" xfId="0" applyNumberFormat="1" applyFont="1" applyBorder="1" applyAlignment="1">
      <alignment horizontal="right" vertical="center" indent="1"/>
    </xf>
    <xf numFmtId="0" fontId="1" fillId="0" borderId="11" xfId="0" applyFont="1" applyBorder="1" applyAlignment="1">
      <alignment vertical="center" wrapText="1"/>
    </xf>
    <xf numFmtId="4" fontId="1" fillId="0" borderId="11" xfId="0" applyNumberFormat="1" applyFont="1" applyBorder="1" applyAlignment="1">
      <alignment horizontal="right" vertical="center" indent="1"/>
    </xf>
    <xf numFmtId="4" fontId="1" fillId="0" borderId="17" xfId="0" applyNumberFormat="1" applyFont="1" applyBorder="1" applyAlignment="1">
      <alignment horizontal="right" vertical="center" indent="1"/>
    </xf>
    <xf numFmtId="0" fontId="2" fillId="0" borderId="16" xfId="0" applyFont="1" applyBorder="1" applyAlignment="1">
      <alignment horizontal="center" vertical="center" wrapText="1"/>
    </xf>
    <xf numFmtId="4" fontId="1" fillId="0" borderId="22" xfId="0" applyNumberFormat="1" applyFont="1" applyBorder="1" applyAlignment="1">
      <alignment vertical="center" wrapText="1"/>
    </xf>
    <xf numFmtId="0" fontId="12" fillId="0" borderId="0" xfId="0" applyFont="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right" vertical="center" wrapText="1"/>
    </xf>
    <xf numFmtId="0" fontId="1" fillId="0" borderId="6" xfId="0" applyFont="1" applyBorder="1" applyAlignment="1">
      <alignment vertical="center" wrapText="1"/>
    </xf>
    <xf numFmtId="4" fontId="1" fillId="0" borderId="23" xfId="0" applyNumberFormat="1" applyFont="1" applyBorder="1" applyAlignment="1">
      <alignment vertical="center" wrapText="1"/>
    </xf>
    <xf numFmtId="4" fontId="1" fillId="0" borderId="6" xfId="0" applyNumberFormat="1" applyFont="1" applyBorder="1" applyAlignment="1">
      <alignment horizontal="right" vertical="center" indent="1"/>
    </xf>
    <xf numFmtId="0" fontId="1" fillId="0" borderId="6" xfId="0" applyFont="1" applyBorder="1" applyAlignment="1">
      <alignment horizontal="right" vertical="center" wrapText="1"/>
    </xf>
    <xf numFmtId="4" fontId="1" fillId="0" borderId="24" xfId="0" applyNumberFormat="1" applyFont="1" applyBorder="1" applyAlignment="1">
      <alignment horizontal="right" vertical="center" indent="1"/>
    </xf>
    <xf numFmtId="0" fontId="1" fillId="0" borderId="1" xfId="0" applyFont="1" applyBorder="1" applyAlignment="1">
      <alignment vertical="center"/>
    </xf>
    <xf numFmtId="0" fontId="5"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3" xfId="0" applyFont="1" applyBorder="1" applyAlignment="1">
      <alignment horizontal="left" vertical="center" wrapText="1" indent="1"/>
    </xf>
    <xf numFmtId="0" fontId="1" fillId="0" borderId="8" xfId="0" applyFont="1" applyBorder="1" applyAlignment="1">
      <alignment vertical="center" wrapText="1"/>
    </xf>
    <xf numFmtId="4" fontId="1" fillId="0" borderId="26" xfId="0" applyNumberFormat="1" applyFont="1" applyBorder="1" applyAlignment="1">
      <alignment vertical="center" wrapText="1"/>
    </xf>
    <xf numFmtId="4" fontId="1" fillId="0" borderId="16" xfId="0" applyNumberFormat="1" applyFont="1" applyBorder="1" applyAlignment="1">
      <alignment horizontal="right" vertical="center" indent="1"/>
    </xf>
    <xf numFmtId="0" fontId="1" fillId="0" borderId="29" xfId="0" applyFont="1" applyBorder="1" applyAlignment="1">
      <alignment horizontal="left" vertical="center" wrapText="1"/>
    </xf>
    <xf numFmtId="4" fontId="1" fillId="0" borderId="30" xfId="0" applyNumberFormat="1" applyFont="1" applyBorder="1" applyAlignment="1">
      <alignment horizontal="right" vertical="center" indent="1"/>
    </xf>
    <xf numFmtId="0" fontId="1" fillId="0" borderId="31" xfId="0" applyFont="1" applyBorder="1" applyAlignment="1">
      <alignment horizontal="left" vertical="center" wrapText="1"/>
    </xf>
    <xf numFmtId="4" fontId="1" fillId="0" borderId="32" xfId="0" applyNumberFormat="1" applyFont="1" applyBorder="1" applyAlignment="1">
      <alignment horizontal="right" vertical="center" indent="1"/>
    </xf>
    <xf numFmtId="0" fontId="1" fillId="0" borderId="33" xfId="0" applyFont="1" applyBorder="1" applyAlignment="1">
      <alignment horizontal="left" vertical="center" wrapText="1"/>
    </xf>
    <xf numFmtId="4" fontId="1" fillId="0" borderId="34" xfId="0" applyNumberFormat="1" applyFont="1" applyBorder="1" applyAlignment="1">
      <alignment horizontal="right" vertical="center" indent="1"/>
    </xf>
    <xf numFmtId="0" fontId="1" fillId="0" borderId="35" xfId="0" applyFont="1" applyBorder="1" applyAlignment="1">
      <alignment horizontal="right" vertical="center" wrapText="1"/>
    </xf>
    <xf numFmtId="4" fontId="3" fillId="0" borderId="36" xfId="0" applyNumberFormat="1" applyFont="1" applyBorder="1" applyAlignment="1">
      <alignment horizontal="right" vertical="center" indent="1"/>
    </xf>
    <xf numFmtId="0" fontId="1" fillId="0" borderId="37" xfId="0" applyFont="1" applyBorder="1" applyAlignment="1">
      <alignment horizontal="right" vertical="center" wrapText="1"/>
    </xf>
    <xf numFmtId="4" fontId="3" fillId="0" borderId="39" xfId="0" applyNumberFormat="1" applyFont="1" applyBorder="1" applyAlignment="1">
      <alignment horizontal="right" vertical="center" indent="1"/>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1" fontId="3" fillId="2" borderId="0" xfId="0" applyNumberFormat="1"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center" vertical="center"/>
    </xf>
    <xf numFmtId="4" fontId="3" fillId="2" borderId="0" xfId="1" applyNumberFormat="1" applyFont="1" applyFill="1" applyBorder="1" applyAlignment="1">
      <alignment vertical="center"/>
    </xf>
    <xf numFmtId="4" fontId="1" fillId="0" borderId="0" xfId="1" applyNumberFormat="1" applyFont="1" applyFill="1" applyBorder="1" applyAlignment="1">
      <alignment vertical="center"/>
    </xf>
    <xf numFmtId="164" fontId="7" fillId="0" borderId="0" xfId="0" applyNumberFormat="1" applyFont="1"/>
    <xf numFmtId="0" fontId="0" fillId="2" borderId="0" xfId="0" applyFill="1"/>
    <xf numFmtId="4" fontId="1" fillId="0" borderId="0" xfId="0" applyNumberFormat="1" applyFont="1" applyAlignment="1">
      <alignment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1" fillId="0" borderId="45" xfId="0" applyFont="1" applyBorder="1" applyAlignment="1">
      <alignment vertical="center"/>
    </xf>
    <xf numFmtId="43" fontId="1" fillId="0" borderId="0" xfId="0" applyNumberFormat="1" applyFont="1" applyAlignment="1">
      <alignment horizontal="center" vertical="center"/>
    </xf>
    <xf numFmtId="43" fontId="6" fillId="0" borderId="0" xfId="0" applyNumberFormat="1" applyFont="1" applyAlignment="1">
      <alignment vertical="center"/>
    </xf>
    <xf numFmtId="0" fontId="1" fillId="0" borderId="49" xfId="0" applyFont="1" applyBorder="1" applyAlignment="1">
      <alignment vertical="center"/>
    </xf>
    <xf numFmtId="0" fontId="1" fillId="0" borderId="33" xfId="0" applyFont="1" applyBorder="1" applyAlignment="1">
      <alignment vertical="center"/>
    </xf>
    <xf numFmtId="0" fontId="1" fillId="0" borderId="37" xfId="0" applyFont="1" applyBorder="1" applyAlignment="1">
      <alignment vertical="center"/>
    </xf>
    <xf numFmtId="0" fontId="2" fillId="0" borderId="37" xfId="0" applyFont="1" applyBorder="1" applyAlignment="1">
      <alignment horizontal="right" vertical="center"/>
    </xf>
    <xf numFmtId="4" fontId="0" fillId="0" borderId="0" xfId="0" applyNumberFormat="1"/>
    <xf numFmtId="0" fontId="1" fillId="0" borderId="1" xfId="0" applyFont="1" applyBorder="1" applyAlignment="1">
      <alignment horizontal="center" vertical="center"/>
    </xf>
    <xf numFmtId="0" fontId="1" fillId="0" borderId="53" xfId="0" applyFont="1" applyBorder="1" applyAlignment="1">
      <alignment horizontal="center" vertical="center" wrapText="1"/>
    </xf>
    <xf numFmtId="0" fontId="1" fillId="0" borderId="53" xfId="0" applyFont="1" applyBorder="1" applyAlignment="1">
      <alignment horizontal="right" vertical="center" wrapText="1"/>
    </xf>
    <xf numFmtId="4" fontId="3" fillId="0" borderId="53"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8" xfId="0" applyFont="1" applyBorder="1" applyAlignment="1">
      <alignment horizontal="right" vertical="center" wrapText="1"/>
    </xf>
    <xf numFmtId="165" fontId="3" fillId="2" borderId="6" xfId="0" applyNumberFormat="1" applyFont="1" applyFill="1" applyBorder="1" applyAlignment="1">
      <alignment horizontal="center" vertical="center" wrapText="1"/>
    </xf>
    <xf numFmtId="165" fontId="3" fillId="8" borderId="6" xfId="0" applyNumberFormat="1" applyFont="1" applyFill="1" applyBorder="1" applyAlignment="1">
      <alignment horizontal="center" vertical="center" wrapText="1"/>
    </xf>
    <xf numFmtId="0" fontId="3" fillId="0" borderId="0" xfId="0" applyFont="1"/>
    <xf numFmtId="4" fontId="1" fillId="0" borderId="0" xfId="0" applyNumberFormat="1" applyFont="1"/>
    <xf numFmtId="0" fontId="5" fillId="5" borderId="0" xfId="0" applyFont="1" applyFill="1" applyAlignment="1">
      <alignment horizontal="center" vertical="center" wrapText="1"/>
    </xf>
    <xf numFmtId="0" fontId="8" fillId="5" borderId="0" xfId="0" applyFont="1" applyFill="1" applyAlignment="1">
      <alignment horizontal="center" vertical="center" wrapText="1"/>
    </xf>
    <xf numFmtId="0" fontId="6"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6" fillId="0" borderId="12" xfId="0" applyFont="1" applyBorder="1" applyAlignment="1">
      <alignment horizontal="center"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1" fillId="0" borderId="12" xfId="0" applyFont="1" applyBorder="1" applyAlignment="1">
      <alignment vertical="center"/>
    </xf>
    <xf numFmtId="0" fontId="6" fillId="0" borderId="4" xfId="0" applyFont="1" applyBorder="1" applyAlignment="1">
      <alignment horizontal="center" vertical="center"/>
    </xf>
    <xf numFmtId="0" fontId="1" fillId="0" borderId="4" xfId="0" applyFont="1" applyBorder="1" applyAlignment="1">
      <alignment vertical="center"/>
    </xf>
    <xf numFmtId="0" fontId="11" fillId="0" borderId="0" xfId="0" applyFont="1"/>
    <xf numFmtId="0" fontId="2" fillId="0" borderId="37" xfId="0" applyFont="1" applyBorder="1" applyAlignment="1">
      <alignment horizontal="center" vertical="center" wrapText="1"/>
    </xf>
    <xf numFmtId="4" fontId="1" fillId="0" borderId="35" xfId="0" applyNumberFormat="1" applyFont="1" applyBorder="1" applyAlignment="1">
      <alignment horizontal="right" vertical="center" indent="1"/>
    </xf>
    <xf numFmtId="4" fontId="1" fillId="0" borderId="1" xfId="0" applyNumberFormat="1" applyFont="1" applyBorder="1" applyAlignment="1">
      <alignment horizontal="right" vertical="center" indent="1"/>
    </xf>
    <xf numFmtId="4" fontId="1" fillId="0" borderId="37" xfId="0" applyNumberFormat="1" applyFont="1" applyBorder="1" applyAlignment="1">
      <alignment horizontal="right" vertical="center" indent="1"/>
    </xf>
    <xf numFmtId="0" fontId="1" fillId="0" borderId="40" xfId="0" applyFont="1" applyBorder="1" applyAlignment="1">
      <alignment horizontal="left" vertical="center"/>
    </xf>
    <xf numFmtId="4" fontId="1" fillId="0" borderId="40" xfId="0" applyNumberFormat="1" applyFont="1" applyBorder="1" applyAlignment="1">
      <alignment horizontal="right" vertical="center" indent="1"/>
    </xf>
    <xf numFmtId="4" fontId="1" fillId="0" borderId="41" xfId="0" applyNumberFormat="1" applyFont="1" applyBorder="1" applyAlignment="1">
      <alignment horizontal="right" vertical="center" indent="1"/>
    </xf>
    <xf numFmtId="0" fontId="1" fillId="0" borderId="44" xfId="0" applyFont="1" applyBorder="1" applyAlignment="1">
      <alignment horizontal="left" vertical="center"/>
    </xf>
    <xf numFmtId="4" fontId="1" fillId="0" borderId="44" xfId="0" applyNumberFormat="1" applyFont="1" applyBorder="1" applyAlignment="1">
      <alignment horizontal="right" vertical="center" indent="1"/>
    </xf>
    <xf numFmtId="4" fontId="1" fillId="0" borderId="27" xfId="0" applyNumberFormat="1" applyFont="1" applyBorder="1" applyAlignment="1">
      <alignment horizontal="right" vertical="center" indent="1"/>
    </xf>
    <xf numFmtId="0" fontId="1" fillId="0" borderId="40" xfId="0" applyFont="1" applyBorder="1" applyAlignment="1">
      <alignment horizontal="center" vertical="center" wrapText="1"/>
    </xf>
    <xf numFmtId="4" fontId="1" fillId="0" borderId="40" xfId="0" applyNumberFormat="1" applyFont="1" applyBorder="1" applyAlignment="1">
      <alignment horizontal="center" vertical="center" wrapText="1"/>
    </xf>
    <xf numFmtId="4" fontId="1" fillId="0" borderId="55" xfId="0" applyNumberFormat="1" applyFont="1" applyBorder="1" applyAlignment="1">
      <alignment horizontal="center" vertical="center" wrapText="1"/>
    </xf>
    <xf numFmtId="3" fontId="1" fillId="0" borderId="40" xfId="0" applyNumberFormat="1" applyFont="1" applyBorder="1" applyAlignment="1">
      <alignment horizontal="center" vertical="center" wrapText="1"/>
    </xf>
    <xf numFmtId="0" fontId="6" fillId="0" borderId="56" xfId="0" applyFont="1" applyBorder="1" applyAlignment="1">
      <alignment horizontal="center" vertical="center"/>
    </xf>
    <xf numFmtId="0" fontId="1" fillId="0" borderId="56" xfId="0" applyFont="1" applyBorder="1" applyAlignment="1">
      <alignment vertical="center"/>
    </xf>
    <xf numFmtId="0" fontId="6" fillId="0" borderId="47" xfId="0" applyFont="1" applyBorder="1" applyAlignment="1">
      <alignment horizontal="center" vertical="center"/>
    </xf>
    <xf numFmtId="0" fontId="6" fillId="0" borderId="8" xfId="0" applyFont="1" applyBorder="1" applyAlignment="1">
      <alignment horizontal="center" vertical="center"/>
    </xf>
    <xf numFmtId="0" fontId="1" fillId="0" borderId="8" xfId="0" applyFont="1" applyBorder="1" applyAlignment="1">
      <alignment vertical="center"/>
    </xf>
    <xf numFmtId="0" fontId="7" fillId="0" borderId="40" xfId="0" applyFont="1" applyBorder="1"/>
    <xf numFmtId="0" fontId="1" fillId="0" borderId="30" xfId="0" applyFont="1" applyBorder="1" applyAlignment="1">
      <alignment vertical="center"/>
    </xf>
    <xf numFmtId="0" fontId="1" fillId="0" borderId="32" xfId="0" applyFont="1" applyBorder="1" applyAlignment="1">
      <alignment vertical="center"/>
    </xf>
    <xf numFmtId="0" fontId="1" fillId="0" borderId="57" xfId="0" applyFont="1" applyBorder="1" applyAlignment="1">
      <alignment vertical="center"/>
    </xf>
    <xf numFmtId="0" fontId="6" fillId="0" borderId="21" xfId="0" applyFont="1" applyBorder="1" applyAlignment="1">
      <alignment horizontal="center" vertical="center"/>
    </xf>
    <xf numFmtId="0" fontId="6" fillId="0" borderId="6" xfId="0" applyFont="1" applyBorder="1" applyAlignment="1">
      <alignment horizontal="center" vertical="center"/>
    </xf>
    <xf numFmtId="0" fontId="1" fillId="0" borderId="6" xfId="0" applyFont="1" applyBorder="1" applyAlignment="1">
      <alignment vertical="center"/>
    </xf>
    <xf numFmtId="0" fontId="7" fillId="0" borderId="1" xfId="0" applyFont="1" applyBorder="1"/>
    <xf numFmtId="0" fontId="1" fillId="0" borderId="34" xfId="0" applyFont="1" applyBorder="1" applyAlignment="1">
      <alignment vertical="center"/>
    </xf>
    <xf numFmtId="0" fontId="6" fillId="0" borderId="23" xfId="0" applyFont="1" applyBorder="1" applyAlignment="1">
      <alignment horizontal="center" vertical="center"/>
    </xf>
    <xf numFmtId="0" fontId="1" fillId="0" borderId="61" xfId="0" applyFont="1" applyBorder="1" applyAlignment="1">
      <alignment vertical="center"/>
    </xf>
    <xf numFmtId="0" fontId="6" fillId="0" borderId="57" xfId="0" applyFont="1" applyBorder="1" applyAlignment="1">
      <alignment horizontal="center" vertical="center"/>
    </xf>
    <xf numFmtId="0" fontId="6" fillId="0" borderId="62" xfId="0" applyFont="1" applyBorder="1" applyAlignment="1">
      <alignment horizontal="center" vertical="center"/>
    </xf>
    <xf numFmtId="0" fontId="1" fillId="0" borderId="62" xfId="0" applyFont="1" applyBorder="1" applyAlignment="1">
      <alignment vertical="center"/>
    </xf>
    <xf numFmtId="0" fontId="1" fillId="0" borderId="30" xfId="0" applyFont="1" applyBorder="1" applyAlignment="1">
      <alignment horizontal="left" vertical="center"/>
    </xf>
    <xf numFmtId="0" fontId="1" fillId="0" borderId="32" xfId="0" applyFont="1" applyBorder="1" applyAlignment="1">
      <alignment horizontal="left" vertical="center"/>
    </xf>
    <xf numFmtId="0" fontId="1" fillId="0" borderId="6" xfId="0" applyFont="1" applyBorder="1" applyAlignment="1">
      <alignment horizontal="left" vertical="center"/>
    </xf>
    <xf numFmtId="0" fontId="1" fillId="0" borderId="34" xfId="0" applyFont="1" applyBorder="1" applyAlignment="1">
      <alignment horizontal="left" vertical="center"/>
    </xf>
    <xf numFmtId="0" fontId="6" fillId="0" borderId="11" xfId="0" applyFont="1" applyBorder="1" applyAlignment="1">
      <alignment horizontal="center" vertical="center"/>
    </xf>
    <xf numFmtId="0" fontId="1" fillId="0" borderId="11" xfId="0" applyFont="1" applyBorder="1" applyAlignment="1">
      <alignment horizontal="left" vertical="center"/>
    </xf>
    <xf numFmtId="0" fontId="6" fillId="0" borderId="22" xfId="0" applyFont="1" applyBorder="1" applyAlignment="1">
      <alignment horizontal="center" vertical="center"/>
    </xf>
    <xf numFmtId="0" fontId="1" fillId="0" borderId="22" xfId="0" applyFont="1" applyBorder="1" applyAlignment="1">
      <alignment vertical="center"/>
    </xf>
    <xf numFmtId="0" fontId="1" fillId="0" borderId="63" xfId="0" applyFont="1" applyBorder="1" applyAlignment="1">
      <alignment vertical="center"/>
    </xf>
    <xf numFmtId="0" fontId="1" fillId="0" borderId="23" xfId="0" applyFont="1" applyBorder="1" applyAlignment="1">
      <alignment vertical="center"/>
    </xf>
    <xf numFmtId="0" fontId="1" fillId="0" borderId="11" xfId="0" applyFont="1" applyBorder="1" applyAlignment="1">
      <alignment vertical="center"/>
    </xf>
    <xf numFmtId="0" fontId="1" fillId="0" borderId="36" xfId="0" applyFont="1" applyBorder="1" applyAlignment="1">
      <alignment vertical="center"/>
    </xf>
    <xf numFmtId="3" fontId="1" fillId="0" borderId="0" xfId="0" applyNumberFormat="1" applyFont="1" applyAlignment="1">
      <alignment vertical="center"/>
    </xf>
    <xf numFmtId="3" fontId="1" fillId="0" borderId="1" xfId="0" applyNumberFormat="1" applyFont="1" applyBorder="1" applyAlignment="1">
      <alignment vertical="center"/>
    </xf>
    <xf numFmtId="0" fontId="1" fillId="0" borderId="1" xfId="0" applyFont="1" applyBorder="1" applyAlignment="1">
      <alignment horizontal="center" vertical="center" textRotation="90" wrapText="1"/>
    </xf>
    <xf numFmtId="3" fontId="1" fillId="0" borderId="1" xfId="0" applyNumberFormat="1" applyFont="1" applyBorder="1" applyAlignment="1">
      <alignment horizontal="center" vertical="center" textRotation="90" wrapText="1"/>
    </xf>
    <xf numFmtId="4" fontId="3" fillId="0" borderId="0" xfId="0" applyNumberFormat="1" applyFont="1" applyAlignment="1">
      <alignment horizontal="center" vertical="center"/>
    </xf>
    <xf numFmtId="0" fontId="2" fillId="0" borderId="0" xfId="0" applyFont="1" applyAlignment="1">
      <alignment horizontal="center"/>
    </xf>
    <xf numFmtId="14" fontId="1" fillId="0" borderId="0" xfId="0" applyNumberFormat="1" applyFont="1"/>
    <xf numFmtId="0" fontId="1" fillId="0" borderId="41" xfId="0" applyFont="1" applyBorder="1" applyAlignment="1">
      <alignment horizontal="center" vertical="center"/>
    </xf>
    <xf numFmtId="4" fontId="1" fillId="0" borderId="44" xfId="0" applyNumberFormat="1" applyFont="1" applyBorder="1" applyAlignment="1">
      <alignment horizontal="center" vertical="center"/>
    </xf>
    <xf numFmtId="4" fontId="1" fillId="0" borderId="28" xfId="0" applyNumberFormat="1" applyFont="1" applyBorder="1" applyAlignment="1">
      <alignment horizontal="center" vertical="center"/>
    </xf>
    <xf numFmtId="0" fontId="3" fillId="0" borderId="35" xfId="0" applyFont="1" applyBorder="1" applyAlignment="1">
      <alignment vertical="center"/>
    </xf>
    <xf numFmtId="0" fontId="3" fillId="0" borderId="0" xfId="0" applyFont="1" applyAlignment="1">
      <alignment vertical="center"/>
    </xf>
    <xf numFmtId="0" fontId="3" fillId="0" borderId="64" xfId="0" applyFont="1" applyBorder="1" applyAlignment="1">
      <alignment vertical="center"/>
    </xf>
    <xf numFmtId="0" fontId="1" fillId="0" borderId="35" xfId="0" applyFont="1" applyBorder="1" applyAlignment="1">
      <alignment horizontal="left" vertical="center"/>
    </xf>
    <xf numFmtId="4" fontId="1" fillId="0" borderId="4" xfId="0" applyNumberFormat="1" applyFont="1" applyBorder="1" applyAlignment="1">
      <alignment horizontal="right" vertical="center"/>
    </xf>
    <xf numFmtId="4" fontId="1" fillId="0" borderId="65" xfId="0" applyNumberFormat="1" applyFont="1" applyBorder="1" applyAlignment="1">
      <alignment horizontal="right" vertical="center"/>
    </xf>
    <xf numFmtId="0" fontId="1" fillId="0" borderId="37" xfId="0" applyFont="1" applyBorder="1" applyAlignment="1">
      <alignment horizontal="left" vertical="center"/>
    </xf>
    <xf numFmtId="4" fontId="1" fillId="0" borderId="10" xfId="0" applyNumberFormat="1" applyFont="1" applyBorder="1" applyAlignment="1">
      <alignment horizontal="right" vertical="center"/>
    </xf>
    <xf numFmtId="4" fontId="1" fillId="0" borderId="39" xfId="0" applyNumberFormat="1" applyFont="1" applyBorder="1" applyAlignment="1">
      <alignment horizontal="right" vertical="center"/>
    </xf>
    <xf numFmtId="0" fontId="1" fillId="0" borderId="35" xfId="0" applyFont="1" applyBorder="1" applyAlignment="1">
      <alignment horizontal="right" vertical="center"/>
    </xf>
    <xf numFmtId="0" fontId="1" fillId="0" borderId="37" xfId="0" applyFont="1" applyBorder="1" applyAlignment="1">
      <alignment horizontal="right" vertical="center"/>
    </xf>
    <xf numFmtId="4" fontId="1" fillId="0" borderId="1" xfId="0" applyNumberFormat="1" applyFont="1" applyBorder="1" applyAlignment="1">
      <alignment horizontal="right" vertical="center"/>
    </xf>
    <xf numFmtId="4" fontId="1" fillId="0" borderId="38" xfId="0" applyNumberFormat="1" applyFont="1" applyBorder="1" applyAlignment="1">
      <alignment horizontal="right" vertical="center"/>
    </xf>
    <xf numFmtId="0" fontId="3" fillId="0" borderId="27" xfId="0" applyFont="1" applyBorder="1" applyAlignment="1">
      <alignment vertical="center"/>
    </xf>
    <xf numFmtId="4" fontId="3" fillId="0" borderId="44" xfId="0" applyNumberFormat="1" applyFont="1" applyBorder="1" applyAlignment="1">
      <alignment horizontal="right" vertical="center"/>
    </xf>
    <xf numFmtId="4" fontId="3" fillId="0" borderId="28" xfId="0" applyNumberFormat="1" applyFont="1" applyBorder="1" applyAlignment="1">
      <alignment horizontal="right" vertical="center"/>
    </xf>
    <xf numFmtId="0" fontId="2" fillId="0" borderId="0" xfId="0" applyFont="1" applyAlignment="1">
      <alignment horizontal="right" vertical="center"/>
    </xf>
    <xf numFmtId="4" fontId="1" fillId="0" borderId="0" xfId="0" applyNumberFormat="1" applyFont="1" applyAlignment="1">
      <alignment horizontal="left" vertical="center"/>
    </xf>
    <xf numFmtId="0" fontId="2" fillId="0" borderId="0" xfId="0" applyFont="1" applyAlignment="1">
      <alignment vertical="center"/>
    </xf>
    <xf numFmtId="165" fontId="14" fillId="0" borderId="6" xfId="0" applyNumberFormat="1" applyFont="1" applyBorder="1" applyAlignment="1">
      <alignment horizontal="center" vertical="center" wrapText="1"/>
    </xf>
    <xf numFmtId="0" fontId="1" fillId="0" borderId="29" xfId="0" applyFont="1" applyBorder="1" applyAlignment="1">
      <alignment horizontal="center" vertical="center"/>
    </xf>
    <xf numFmtId="4" fontId="1" fillId="0" borderId="8" xfId="0" applyNumberFormat="1" applyFont="1" applyBorder="1" applyAlignment="1">
      <alignment horizontal="center" vertical="center"/>
    </xf>
    <xf numFmtId="4" fontId="1" fillId="0" borderId="8" xfId="0" applyNumberFormat="1" applyFont="1" applyBorder="1" applyAlignment="1">
      <alignment vertical="center"/>
    </xf>
    <xf numFmtId="4" fontId="1" fillId="0" borderId="30" xfId="0" applyNumberFormat="1" applyFont="1" applyBorder="1" applyAlignment="1">
      <alignment vertical="center"/>
    </xf>
    <xf numFmtId="4" fontId="1" fillId="0" borderId="11" xfId="0" applyNumberFormat="1" applyFont="1" applyBorder="1" applyAlignment="1">
      <alignment horizontal="center" vertical="center"/>
    </xf>
    <xf numFmtId="4" fontId="1" fillId="0" borderId="3" xfId="0" applyNumberFormat="1" applyFont="1" applyBorder="1" applyAlignment="1">
      <alignment vertical="center"/>
    </xf>
    <xf numFmtId="4" fontId="1" fillId="0" borderId="32" xfId="0" applyNumberFormat="1" applyFont="1" applyBorder="1" applyAlignment="1">
      <alignment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4" fontId="1" fillId="0" borderId="10" xfId="0" applyNumberFormat="1" applyFont="1" applyBorder="1" applyAlignment="1">
      <alignment horizontal="center" vertical="center"/>
    </xf>
    <xf numFmtId="4" fontId="1" fillId="0" borderId="6" xfId="0" applyNumberFormat="1" applyFont="1" applyBorder="1" applyAlignment="1">
      <alignment vertical="center"/>
    </xf>
    <xf numFmtId="4" fontId="1" fillId="0" borderId="34" xfId="0" applyNumberFormat="1" applyFont="1" applyBorder="1" applyAlignment="1">
      <alignment vertical="center"/>
    </xf>
    <xf numFmtId="0" fontId="1" fillId="0" borderId="68" xfId="0" applyFont="1" applyBorder="1" applyAlignment="1">
      <alignment horizontal="center" vertical="center"/>
    </xf>
    <xf numFmtId="4" fontId="1" fillId="0" borderId="11" xfId="0" applyNumberFormat="1" applyFont="1" applyBorder="1" applyAlignment="1">
      <alignment vertical="center"/>
    </xf>
    <xf numFmtId="4" fontId="1" fillId="0" borderId="36" xfId="0" applyNumberFormat="1" applyFont="1" applyBorder="1" applyAlignment="1">
      <alignment vertical="center"/>
    </xf>
    <xf numFmtId="0" fontId="1" fillId="0" borderId="40" xfId="0" applyFont="1" applyBorder="1" applyAlignment="1">
      <alignment horizontal="center" vertical="center"/>
    </xf>
    <xf numFmtId="4" fontId="1" fillId="0" borderId="40" xfId="0" applyNumberFormat="1" applyFont="1" applyBorder="1" applyAlignment="1">
      <alignment vertical="center"/>
    </xf>
    <xf numFmtId="0" fontId="15" fillId="0" borderId="0" xfId="0" applyFont="1" applyAlignment="1">
      <alignment vertical="center"/>
    </xf>
    <xf numFmtId="165" fontId="14" fillId="0" borderId="33" xfId="0" applyNumberFormat="1" applyFont="1" applyBorder="1" applyAlignment="1">
      <alignment horizontal="center" vertical="center" wrapText="1"/>
    </xf>
    <xf numFmtId="165" fontId="14" fillId="0" borderId="34" xfId="0" applyNumberFormat="1" applyFont="1" applyBorder="1" applyAlignment="1">
      <alignment horizontal="center" vertical="center" wrapText="1"/>
    </xf>
    <xf numFmtId="165" fontId="14" fillId="0" borderId="21" xfId="0" applyNumberFormat="1" applyFont="1" applyBorder="1" applyAlignment="1">
      <alignment horizontal="center" vertical="center" wrapText="1"/>
    </xf>
    <xf numFmtId="165" fontId="14" fillId="0" borderId="19" xfId="0" applyNumberFormat="1" applyFont="1" applyBorder="1" applyAlignment="1">
      <alignment horizontal="center" vertical="center" wrapText="1"/>
    </xf>
    <xf numFmtId="0" fontId="1" fillId="0" borderId="69" xfId="0" applyFont="1" applyBorder="1" applyAlignment="1">
      <alignment horizontal="center" vertical="center"/>
    </xf>
    <xf numFmtId="4" fontId="1" fillId="0" borderId="29" xfId="0" applyNumberFormat="1" applyFont="1" applyBorder="1" applyAlignment="1">
      <alignment vertical="center"/>
    </xf>
    <xf numFmtId="4" fontId="1" fillId="0" borderId="47" xfId="0" applyNumberFormat="1" applyFont="1" applyBorder="1" applyAlignment="1">
      <alignment vertical="center"/>
    </xf>
    <xf numFmtId="4" fontId="1" fillId="0" borderId="25" xfId="0" applyNumberFormat="1" applyFont="1" applyBorder="1" applyAlignment="1">
      <alignment vertical="center"/>
    </xf>
    <xf numFmtId="0" fontId="1" fillId="0" borderId="71" xfId="0" applyFont="1" applyBorder="1" applyAlignment="1">
      <alignment horizontal="center" vertical="center"/>
    </xf>
    <xf numFmtId="4" fontId="1" fillId="0" borderId="31" xfId="0" applyNumberFormat="1" applyFont="1" applyBorder="1" applyAlignment="1">
      <alignment vertical="center"/>
    </xf>
    <xf numFmtId="4" fontId="1" fillId="0" borderId="50" xfId="0" applyNumberFormat="1" applyFont="1" applyBorder="1" applyAlignment="1">
      <alignment vertical="center"/>
    </xf>
    <xf numFmtId="4" fontId="1" fillId="0" borderId="5" xfId="0" applyNumberFormat="1" applyFont="1" applyBorder="1" applyAlignment="1">
      <alignment vertical="center"/>
    </xf>
    <xf numFmtId="4" fontId="1" fillId="0" borderId="33" xfId="0" applyNumberFormat="1" applyFont="1" applyBorder="1" applyAlignment="1">
      <alignment vertical="center"/>
    </xf>
    <xf numFmtId="4" fontId="1" fillId="0" borderId="21" xfId="0" applyNumberFormat="1" applyFont="1" applyBorder="1" applyAlignment="1">
      <alignment vertical="center"/>
    </xf>
    <xf numFmtId="4" fontId="1" fillId="0" borderId="19" xfId="0" applyNumberFormat="1" applyFont="1" applyBorder="1" applyAlignment="1">
      <alignment vertical="center"/>
    </xf>
    <xf numFmtId="4" fontId="1" fillId="0" borderId="68" xfId="0" applyNumberFormat="1" applyFont="1" applyBorder="1" applyAlignment="1">
      <alignment vertical="center"/>
    </xf>
    <xf numFmtId="4" fontId="1" fillId="0" borderId="72" xfId="0" applyNumberFormat="1" applyFont="1" applyBorder="1" applyAlignment="1">
      <alignment vertical="center"/>
    </xf>
    <xf numFmtId="4" fontId="1" fillId="0" borderId="73" xfId="0" applyNumberFormat="1" applyFont="1" applyBorder="1" applyAlignment="1">
      <alignment vertical="center"/>
    </xf>
    <xf numFmtId="0" fontId="1" fillId="0" borderId="70" xfId="0" applyFont="1" applyBorder="1" applyAlignment="1">
      <alignment horizontal="center" vertical="center"/>
    </xf>
    <xf numFmtId="0" fontId="2" fillId="0" borderId="66" xfId="0" applyFont="1" applyBorder="1" applyAlignment="1">
      <alignment horizontal="right" vertical="center"/>
    </xf>
    <xf numFmtId="49" fontId="1" fillId="0" borderId="0" xfId="0" applyNumberFormat="1" applyFont="1" applyAlignment="1">
      <alignment horizontal="justify" vertical="center"/>
    </xf>
    <xf numFmtId="4" fontId="1" fillId="0" borderId="14" xfId="0" applyNumberFormat="1" applyFont="1" applyBorder="1" applyAlignment="1">
      <alignment vertical="center"/>
    </xf>
    <xf numFmtId="4" fontId="1" fillId="0" borderId="10" xfId="0" applyNumberFormat="1" applyFont="1" applyBorder="1" applyAlignment="1">
      <alignment vertical="center"/>
    </xf>
    <xf numFmtId="165" fontId="1" fillId="0" borderId="0" xfId="0" applyNumberFormat="1" applyFont="1" applyAlignment="1">
      <alignment vertical="center"/>
    </xf>
    <xf numFmtId="4" fontId="1" fillId="0" borderId="64" xfId="0" applyNumberFormat="1" applyFont="1" applyBorder="1" applyAlignment="1">
      <alignment vertical="center"/>
    </xf>
    <xf numFmtId="4" fontId="1" fillId="0" borderId="39" xfId="0" applyNumberFormat="1" applyFont="1" applyBorder="1" applyAlignment="1">
      <alignment vertical="center"/>
    </xf>
    <xf numFmtId="165" fontId="14" fillId="0" borderId="35" xfId="0" applyNumberFormat="1" applyFont="1" applyBorder="1" applyAlignment="1">
      <alignment horizontal="center" vertical="center" wrapText="1"/>
    </xf>
    <xf numFmtId="165" fontId="14" fillId="0" borderId="64" xfId="0" applyNumberFormat="1" applyFont="1" applyBorder="1" applyAlignment="1">
      <alignment horizontal="center" vertical="center" wrapText="1"/>
    </xf>
    <xf numFmtId="4" fontId="1" fillId="0" borderId="35" xfId="0" applyNumberFormat="1" applyFont="1" applyBorder="1" applyAlignment="1">
      <alignment vertical="center"/>
    </xf>
    <xf numFmtId="0" fontId="1" fillId="0" borderId="74" xfId="0" applyFont="1" applyBorder="1" applyAlignment="1">
      <alignment horizontal="center" vertical="center"/>
    </xf>
    <xf numFmtId="0" fontId="1" fillId="0" borderId="40" xfId="0" applyFont="1" applyBorder="1" applyAlignment="1">
      <alignment vertical="center"/>
    </xf>
    <xf numFmtId="0" fontId="2" fillId="0" borderId="14" xfId="0" applyFont="1" applyBorder="1" applyAlignment="1">
      <alignment horizontal="center" vertical="center"/>
    </xf>
    <xf numFmtId="0" fontId="2" fillId="0" borderId="6" xfId="0" applyFont="1" applyBorder="1" applyAlignment="1">
      <alignment horizontal="center" vertical="center" wrapText="1"/>
    </xf>
    <xf numFmtId="4" fontId="1" fillId="0" borderId="36" xfId="0" applyNumberFormat="1" applyFont="1" applyBorder="1" applyAlignment="1">
      <alignment horizontal="center" vertical="center"/>
    </xf>
    <xf numFmtId="4" fontId="1" fillId="0" borderId="30" xfId="0" applyNumberFormat="1" applyFont="1" applyBorder="1" applyAlignment="1">
      <alignment horizontal="center" vertical="center"/>
    </xf>
    <xf numFmtId="0" fontId="1" fillId="0" borderId="76" xfId="0" applyFont="1" applyBorder="1" applyAlignment="1">
      <alignment horizontal="center" vertical="center"/>
    </xf>
    <xf numFmtId="4" fontId="1" fillId="0" borderId="32" xfId="0" applyNumberFormat="1" applyFont="1" applyBorder="1" applyAlignment="1">
      <alignment horizontal="center" vertical="center"/>
    </xf>
    <xf numFmtId="4" fontId="1" fillId="0" borderId="3" xfId="0" applyNumberFormat="1" applyFont="1" applyBorder="1" applyAlignment="1">
      <alignment horizontal="center" vertical="center"/>
    </xf>
    <xf numFmtId="4" fontId="1" fillId="0" borderId="34" xfId="0" applyNumberFormat="1" applyFont="1" applyBorder="1" applyAlignment="1">
      <alignment horizontal="center" vertical="center"/>
    </xf>
    <xf numFmtId="0" fontId="1" fillId="0" borderId="68" xfId="0" applyFont="1" applyBorder="1" applyAlignment="1">
      <alignment horizontal="left" vertical="center"/>
    </xf>
    <xf numFmtId="0" fontId="1" fillId="0" borderId="33" xfId="0" applyFont="1" applyBorder="1" applyAlignment="1">
      <alignment horizontal="left" vertical="center"/>
    </xf>
    <xf numFmtId="4" fontId="17" fillId="0" borderId="0" xfId="0" applyNumberFormat="1" applyFont="1" applyAlignment="1">
      <alignment horizontal="center" vertical="center"/>
    </xf>
    <xf numFmtId="4" fontId="18" fillId="0" borderId="0" xfId="0" applyNumberFormat="1" applyFont="1" applyAlignment="1">
      <alignment vertical="center"/>
    </xf>
    <xf numFmtId="0" fontId="19" fillId="0" borderId="0" xfId="0" applyFont="1" applyAlignment="1">
      <alignment vertical="center" wrapText="1"/>
    </xf>
    <xf numFmtId="0" fontId="20" fillId="0" borderId="40" xfId="0" applyFont="1" applyBorder="1" applyAlignment="1">
      <alignment horizontal="center" vertical="center" wrapText="1"/>
    </xf>
    <xf numFmtId="0" fontId="20" fillId="0" borderId="4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8" xfId="0" applyFont="1" applyBorder="1" applyAlignment="1">
      <alignment horizontal="center" vertical="center" wrapText="1"/>
    </xf>
    <xf numFmtId="4" fontId="1" fillId="0" borderId="68" xfId="0" applyNumberFormat="1" applyFont="1" applyBorder="1" applyAlignment="1">
      <alignment horizontal="center" vertical="center"/>
    </xf>
    <xf numFmtId="10" fontId="21" fillId="0" borderId="8" xfId="0" applyNumberFormat="1" applyFont="1" applyBorder="1" applyAlignment="1">
      <alignment horizontal="center" vertical="center" wrapText="1"/>
    </xf>
    <xf numFmtId="10" fontId="21" fillId="0" borderId="30" xfId="0" applyNumberFormat="1" applyFont="1" applyBorder="1" applyAlignment="1">
      <alignment horizontal="center" vertical="center" wrapText="1"/>
    </xf>
    <xf numFmtId="4" fontId="1" fillId="0" borderId="31" xfId="0" applyNumberFormat="1" applyFont="1" applyBorder="1" applyAlignment="1">
      <alignment horizontal="center" vertical="center"/>
    </xf>
    <xf numFmtId="10" fontId="21" fillId="0" borderId="3" xfId="0" applyNumberFormat="1" applyFont="1" applyBorder="1" applyAlignment="1">
      <alignment horizontal="center" vertical="center" wrapText="1"/>
    </xf>
    <xf numFmtId="10" fontId="21" fillId="0" borderId="32" xfId="0" applyNumberFormat="1" applyFont="1" applyBorder="1" applyAlignment="1">
      <alignment horizontal="center" vertical="center" wrapText="1"/>
    </xf>
    <xf numFmtId="4" fontId="1" fillId="0" borderId="33" xfId="0" applyNumberFormat="1" applyFont="1" applyBorder="1" applyAlignment="1">
      <alignment horizontal="center" vertical="center"/>
    </xf>
    <xf numFmtId="10" fontId="21" fillId="0" borderId="6" xfId="0" applyNumberFormat="1" applyFont="1" applyBorder="1" applyAlignment="1">
      <alignment horizontal="center" vertical="center" wrapText="1"/>
    </xf>
    <xf numFmtId="10" fontId="21" fillId="0" borderId="34" xfId="0" applyNumberFormat="1" applyFont="1" applyBorder="1" applyAlignment="1">
      <alignment horizontal="center" vertical="center" wrapText="1"/>
    </xf>
    <xf numFmtId="0" fontId="21" fillId="0" borderId="6" xfId="0" applyFont="1" applyBorder="1" applyAlignment="1">
      <alignment horizontal="center" vertical="center" wrapText="1"/>
    </xf>
    <xf numFmtId="0" fontId="21" fillId="0" borderId="34" xfId="0" applyFont="1" applyBorder="1" applyAlignment="1">
      <alignment horizontal="center" vertical="center" wrapText="1"/>
    </xf>
    <xf numFmtId="9" fontId="21" fillId="0" borderId="11" xfId="0" applyNumberFormat="1" applyFont="1" applyBorder="1" applyAlignment="1">
      <alignment horizontal="center" vertical="center" wrapText="1"/>
    </xf>
    <xf numFmtId="9" fontId="21" fillId="0" borderId="36" xfId="0" applyNumberFormat="1" applyFont="1" applyBorder="1" applyAlignment="1">
      <alignment horizontal="center" vertical="center" wrapText="1"/>
    </xf>
    <xf numFmtId="9" fontId="21" fillId="0" borderId="3" xfId="0" applyNumberFormat="1" applyFont="1" applyBorder="1" applyAlignment="1">
      <alignment horizontal="center" vertical="center" wrapText="1"/>
    </xf>
    <xf numFmtId="9" fontId="21" fillId="0" borderId="32" xfId="0" applyNumberFormat="1" applyFont="1" applyBorder="1" applyAlignment="1">
      <alignment horizontal="center" vertical="center" wrapText="1"/>
    </xf>
    <xf numFmtId="166" fontId="21" fillId="0" borderId="6" xfId="0" applyNumberFormat="1" applyFont="1" applyBorder="1" applyAlignment="1">
      <alignment horizontal="center" vertical="center" wrapText="1"/>
    </xf>
    <xf numFmtId="9" fontId="21" fillId="0" borderId="6" xfId="0" applyNumberFormat="1" applyFont="1" applyBorder="1" applyAlignment="1">
      <alignment horizontal="center" vertical="center" wrapText="1"/>
    </xf>
    <xf numFmtId="9" fontId="21" fillId="0" borderId="34" xfId="0" applyNumberFormat="1" applyFont="1" applyBorder="1" applyAlignment="1">
      <alignment horizontal="center" vertical="center" wrapText="1"/>
    </xf>
    <xf numFmtId="164" fontId="3" fillId="2" borderId="0" xfId="1" applyFont="1" applyFill="1" applyBorder="1" applyAlignment="1">
      <alignment vertical="center"/>
    </xf>
    <xf numFmtId="164" fontId="1" fillId="0" borderId="0" xfId="1" applyFont="1" applyFill="1" applyBorder="1" applyAlignment="1">
      <alignment vertical="center"/>
    </xf>
    <xf numFmtId="164" fontId="1" fillId="0" borderId="1" xfId="1" applyFont="1" applyFill="1" applyBorder="1" applyAlignment="1">
      <alignment vertical="center"/>
    </xf>
    <xf numFmtId="164" fontId="1" fillId="0" borderId="1" xfId="1" applyFont="1" applyFill="1" applyBorder="1" applyAlignment="1">
      <alignment horizontal="center" vertical="center"/>
    </xf>
    <xf numFmtId="164" fontId="1" fillId="0" borderId="0" xfId="1" applyFont="1" applyFill="1" applyBorder="1" applyAlignment="1">
      <alignment horizontal="justify" vertical="center"/>
    </xf>
    <xf numFmtId="164" fontId="1" fillId="0" borderId="1" xfId="1" applyFont="1" applyFill="1" applyBorder="1" applyAlignment="1">
      <alignment horizontal="justify" vertical="center"/>
    </xf>
    <xf numFmtId="0" fontId="2" fillId="0" borderId="48" xfId="0" applyFont="1" applyBorder="1" applyAlignment="1">
      <alignment vertical="center"/>
    </xf>
    <xf numFmtId="0" fontId="2" fillId="0" borderId="64" xfId="0" applyFont="1" applyBorder="1" applyAlignment="1">
      <alignment vertical="center"/>
    </xf>
    <xf numFmtId="4" fontId="1" fillId="0" borderId="69" xfId="0" applyNumberFormat="1" applyFont="1" applyBorder="1" applyAlignment="1">
      <alignment vertical="center"/>
    </xf>
    <xf numFmtId="4" fontId="1" fillId="0" borderId="71" xfId="0" applyNumberFormat="1" applyFont="1" applyBorder="1" applyAlignment="1">
      <alignment vertical="center"/>
    </xf>
    <xf numFmtId="4" fontId="1" fillId="0" borderId="70" xfId="0" applyNumberFormat="1" applyFont="1" applyBorder="1" applyAlignment="1">
      <alignment vertical="center"/>
    </xf>
    <xf numFmtId="4" fontId="1" fillId="0" borderId="74" xfId="0" applyNumberFormat="1" applyFont="1" applyBorder="1" applyAlignment="1">
      <alignment vertical="center"/>
    </xf>
    <xf numFmtId="4" fontId="1" fillId="0" borderId="1" xfId="0" applyNumberFormat="1" applyFont="1" applyBorder="1" applyAlignment="1">
      <alignment horizontal="center" vertical="center"/>
    </xf>
    <xf numFmtId="4" fontId="1" fillId="0" borderId="78" xfId="0" applyNumberFormat="1" applyFont="1" applyBorder="1" applyAlignment="1">
      <alignment horizontal="center" vertical="center"/>
    </xf>
    <xf numFmtId="0" fontId="5" fillId="2" borderId="10" xfId="0" applyFont="1" applyFill="1" applyBorder="1" applyAlignment="1">
      <alignment horizontal="center" vertical="center" wrapText="1"/>
    </xf>
    <xf numFmtId="0" fontId="6" fillId="2" borderId="0" xfId="0" applyFont="1" applyFill="1" applyAlignment="1">
      <alignment horizontal="center" vertical="center"/>
    </xf>
    <xf numFmtId="164" fontId="1" fillId="2" borderId="0" xfId="1" applyFont="1" applyFill="1" applyBorder="1" applyAlignment="1">
      <alignment vertical="center"/>
    </xf>
    <xf numFmtId="0" fontId="6" fillId="2" borderId="1" xfId="0" applyFont="1" applyFill="1" applyBorder="1" applyAlignment="1">
      <alignment horizontal="center" vertical="center"/>
    </xf>
    <xf numFmtId="164" fontId="1" fillId="2" borderId="1" xfId="1" applyFont="1" applyFill="1" applyBorder="1" applyAlignment="1">
      <alignment vertical="center"/>
    </xf>
    <xf numFmtId="0" fontId="2" fillId="2" borderId="0" xfId="0" applyFont="1" applyFill="1" applyAlignment="1">
      <alignment horizontal="center" vertical="center" wrapText="1"/>
    </xf>
    <xf numFmtId="43" fontId="1" fillId="2" borderId="0" xfId="0" applyNumberFormat="1" applyFont="1" applyFill="1" applyAlignment="1">
      <alignment horizontal="center" vertical="center"/>
    </xf>
    <xf numFmtId="0" fontId="0" fillId="2" borderId="0" xfId="0" applyFill="1" applyAlignment="1">
      <alignment horizontal="center"/>
    </xf>
    <xf numFmtId="4" fontId="1" fillId="0" borderId="10" xfId="0" applyNumberFormat="1" applyFont="1" applyBorder="1" applyAlignment="1">
      <alignment horizontal="right" vertical="center" indent="1"/>
    </xf>
    <xf numFmtId="0" fontId="3" fillId="0" borderId="0" xfId="0" applyFont="1" applyAlignment="1">
      <alignment horizontal="right" vertical="center"/>
    </xf>
    <xf numFmtId="0" fontId="4"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8" borderId="3"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5" xfId="0" applyFont="1" applyFill="1" applyBorder="1" applyAlignment="1">
      <alignment horizontal="center" vertical="center"/>
    </xf>
    <xf numFmtId="0" fontId="3" fillId="8" borderId="18" xfId="0" applyFont="1" applyFill="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0" borderId="3" xfId="0" applyFont="1" applyBorder="1" applyAlignment="1">
      <alignment horizontal="center" vertical="center" textRotation="90"/>
    </xf>
    <xf numFmtId="0" fontId="3" fillId="0" borderId="0" xfId="0" applyFont="1" applyAlignment="1">
      <alignment horizontal="center" vertical="center" wrapText="1"/>
    </xf>
    <xf numFmtId="0" fontId="3" fillId="0" borderId="40" xfId="0" applyFont="1" applyBorder="1" applyAlignment="1">
      <alignment horizontal="center" vertical="center" wrapText="1"/>
    </xf>
    <xf numFmtId="0" fontId="3" fillId="0" borderId="1"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6" xfId="0" applyFont="1" applyBorder="1" applyAlignment="1">
      <alignment horizontal="left" vertical="center" wrapText="1"/>
    </xf>
    <xf numFmtId="0" fontId="21" fillId="0" borderId="31" xfId="0" applyFont="1" applyBorder="1" applyAlignment="1">
      <alignment horizontal="left" vertical="center" wrapText="1"/>
    </xf>
    <xf numFmtId="0" fontId="21" fillId="0" borderId="3" xfId="0" applyFont="1" applyBorder="1" applyAlignment="1">
      <alignment horizontal="left" vertical="center" wrapText="1"/>
    </xf>
    <xf numFmtId="0" fontId="21" fillId="0" borderId="50" xfId="0" applyFont="1" applyBorder="1" applyAlignment="1">
      <alignment horizontal="left" vertical="center" wrapText="1"/>
    </xf>
    <xf numFmtId="0" fontId="21" fillId="0" borderId="21" xfId="0" applyFont="1" applyBorder="1" applyAlignment="1">
      <alignment horizontal="left" vertical="center" wrapText="1"/>
    </xf>
    <xf numFmtId="4" fontId="18" fillId="0" borderId="41" xfId="0" applyNumberFormat="1" applyFont="1" applyBorder="1" applyAlignment="1">
      <alignment horizontal="center" vertical="center" wrapText="1"/>
    </xf>
    <xf numFmtId="4" fontId="18" fillId="0" borderId="40" xfId="0" applyNumberFormat="1" applyFont="1" applyBorder="1" applyAlignment="1">
      <alignment horizontal="center" vertical="center" wrapText="1"/>
    </xf>
    <xf numFmtId="4" fontId="18" fillId="0" borderId="42" xfId="0" applyNumberFormat="1" applyFont="1" applyBorder="1" applyAlignment="1">
      <alignment horizontal="center" vertical="center" wrapText="1"/>
    </xf>
    <xf numFmtId="0" fontId="19" fillId="0" borderId="37" xfId="0" applyFont="1" applyBorder="1" applyAlignment="1">
      <alignment horizontal="left" vertical="center" wrapText="1"/>
    </xf>
    <xf numFmtId="0" fontId="19" fillId="0" borderId="1" xfId="0" applyFont="1" applyBorder="1" applyAlignment="1">
      <alignment horizontal="left" vertical="center" wrapText="1"/>
    </xf>
    <xf numFmtId="0" fontId="21" fillId="0" borderId="29" xfId="0" applyFont="1" applyBorder="1" applyAlignment="1">
      <alignment horizontal="left" vertical="center" wrapText="1"/>
    </xf>
    <xf numFmtId="0" fontId="21" fillId="0" borderId="8" xfId="0" applyFont="1" applyBorder="1" applyAlignment="1">
      <alignment horizontal="left" vertical="center" wrapText="1"/>
    </xf>
    <xf numFmtId="4" fontId="18" fillId="0" borderId="41" xfId="0" applyNumberFormat="1" applyFont="1" applyBorder="1" applyAlignment="1">
      <alignment horizontal="center" vertical="center"/>
    </xf>
    <xf numFmtId="4" fontId="18" fillId="0" borderId="40" xfId="0" applyNumberFormat="1" applyFont="1" applyBorder="1" applyAlignment="1">
      <alignment horizontal="center" vertical="center"/>
    </xf>
    <xf numFmtId="4" fontId="18" fillId="0" borderId="42" xfId="0" applyNumberFormat="1" applyFont="1" applyBorder="1" applyAlignment="1">
      <alignment horizontal="center" vertical="center"/>
    </xf>
    <xf numFmtId="4" fontId="18" fillId="0" borderId="35" xfId="0" applyNumberFormat="1" applyFont="1" applyBorder="1" applyAlignment="1">
      <alignment horizontal="center" vertical="center"/>
    </xf>
    <xf numFmtId="4" fontId="18" fillId="0" borderId="0" xfId="0" applyNumberFormat="1" applyFont="1" applyAlignment="1">
      <alignment horizontal="center" vertical="center"/>
    </xf>
    <xf numFmtId="4" fontId="18" fillId="0" borderId="64" xfId="0" applyNumberFormat="1" applyFont="1" applyBorder="1" applyAlignment="1">
      <alignment horizontal="center" vertical="center"/>
    </xf>
    <xf numFmtId="0" fontId="22" fillId="0" borderId="3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8"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6" xfId="0" applyFont="1" applyBorder="1" applyAlignment="1">
      <alignment horizontal="center" vertical="center" wrapText="1"/>
    </xf>
    <xf numFmtId="0" fontId="21" fillId="0" borderId="72" xfId="0" applyFont="1" applyBorder="1" applyAlignment="1">
      <alignment horizontal="left" vertical="center" wrapText="1"/>
    </xf>
    <xf numFmtId="0" fontId="21" fillId="0" borderId="11" xfId="0" applyFont="1" applyBorder="1" applyAlignment="1">
      <alignment horizontal="left"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4" fontId="2" fillId="0" borderId="42" xfId="0" applyNumberFormat="1" applyFont="1" applyBorder="1" applyAlignment="1">
      <alignment horizontal="center" vertical="center" wrapText="1"/>
    </xf>
    <xf numFmtId="4" fontId="2" fillId="0" borderId="38" xfId="0" applyNumberFormat="1" applyFont="1" applyBorder="1" applyAlignment="1">
      <alignment horizontal="center" vertical="center" wrapText="1"/>
    </xf>
    <xf numFmtId="4" fontId="1" fillId="0" borderId="36" xfId="0" applyNumberFormat="1" applyFont="1" applyBorder="1" applyAlignment="1">
      <alignment horizontal="center" vertical="center"/>
    </xf>
    <xf numFmtId="4" fontId="1" fillId="0" borderId="34" xfId="0" applyNumberFormat="1" applyFont="1" applyBorder="1" applyAlignment="1">
      <alignment horizontal="center" vertical="center"/>
    </xf>
    <xf numFmtId="0" fontId="2" fillId="0" borderId="66" xfId="0" applyFont="1" applyBorder="1" applyAlignment="1">
      <alignment horizontal="right" vertical="center"/>
    </xf>
    <xf numFmtId="4" fontId="1" fillId="0" borderId="3" xfId="0" applyNumberFormat="1" applyFont="1" applyBorder="1" applyAlignment="1">
      <alignment horizontal="center" vertical="center"/>
    </xf>
    <xf numFmtId="4" fontId="1" fillId="0" borderId="32"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5" fillId="0" borderId="0" xfId="0" applyFont="1" applyAlignment="1">
      <alignment horizontal="center" vertical="center"/>
    </xf>
    <xf numFmtId="0" fontId="2" fillId="0" borderId="2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8" xfId="0"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0" fontId="2" fillId="0" borderId="7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25"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49" fontId="1" fillId="0" borderId="9" xfId="0" applyNumberFormat="1" applyFont="1" applyBorder="1" applyAlignment="1">
      <alignment horizontal="justify" vertical="center"/>
    </xf>
    <xf numFmtId="49" fontId="1" fillId="0" borderId="0" xfId="0" applyNumberFormat="1" applyFont="1" applyAlignment="1">
      <alignment horizontal="justify" vertical="center"/>
    </xf>
    <xf numFmtId="0" fontId="2" fillId="0" borderId="67"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5" xfId="0" applyFont="1" applyBorder="1" applyAlignment="1">
      <alignment horizontal="center" vertical="center"/>
    </xf>
    <xf numFmtId="0" fontId="2" fillId="0" borderId="64"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xf>
    <xf numFmtId="4" fontId="1" fillId="0" borderId="9" xfId="0" applyNumberFormat="1" applyFont="1" applyBorder="1" applyAlignment="1">
      <alignment horizontal="justify" vertical="center" wrapText="1"/>
    </xf>
    <xf numFmtId="4" fontId="1" fillId="0" borderId="0" xfId="0" applyNumberFormat="1" applyFont="1" applyAlignment="1">
      <alignment horizontal="justify" vertical="center" wrapText="1"/>
    </xf>
    <xf numFmtId="0" fontId="4" fillId="0" borderId="40" xfId="0" applyFont="1" applyBorder="1" applyAlignment="1">
      <alignment horizontal="center" vertical="center" wrapText="1"/>
    </xf>
    <xf numFmtId="43" fontId="1" fillId="0" borderId="25" xfId="0" applyNumberFormat="1" applyFont="1" applyBorder="1" applyAlignment="1">
      <alignment horizontal="center" vertical="center"/>
    </xf>
    <xf numFmtId="43" fontId="1" fillId="0" borderId="48" xfId="0" applyNumberFormat="1" applyFont="1" applyBorder="1" applyAlignment="1">
      <alignment horizontal="center" vertical="center"/>
    </xf>
    <xf numFmtId="0" fontId="2" fillId="0" borderId="43" xfId="0" applyFont="1" applyBorder="1" applyAlignment="1">
      <alignment horizontal="center" vertical="center" wrapText="1"/>
    </xf>
    <xf numFmtId="0" fontId="2" fillId="0" borderId="28" xfId="0" applyFont="1" applyBorder="1" applyAlignment="1">
      <alignment horizontal="center" vertical="center" wrapText="1"/>
    </xf>
    <xf numFmtId="43" fontId="1" fillId="0" borderId="5" xfId="0" applyNumberFormat="1" applyFont="1" applyBorder="1" applyAlignment="1">
      <alignment horizontal="center" vertical="center"/>
    </xf>
    <xf numFmtId="43" fontId="1" fillId="0" borderId="51" xfId="0" applyNumberFormat="1" applyFont="1" applyBorder="1" applyAlignment="1">
      <alignment horizontal="center" vertical="center"/>
    </xf>
    <xf numFmtId="43" fontId="1" fillId="0" borderId="19" xfId="0" applyNumberFormat="1" applyFont="1" applyBorder="1" applyAlignment="1">
      <alignment horizontal="center" vertical="center"/>
    </xf>
    <xf numFmtId="43" fontId="1" fillId="0" borderId="52" xfId="0" applyNumberFormat="1" applyFont="1" applyBorder="1" applyAlignment="1">
      <alignment horizontal="center" vertical="center"/>
    </xf>
    <xf numFmtId="43" fontId="1" fillId="0" borderId="14" xfId="0" applyNumberFormat="1" applyFont="1" applyBorder="1" applyAlignment="1">
      <alignment horizontal="center" vertical="center"/>
    </xf>
    <xf numFmtId="43" fontId="1" fillId="0" borderId="38" xfId="0" applyNumberFormat="1" applyFont="1" applyBorder="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4" fontId="1" fillId="0" borderId="0" xfId="0" applyNumberFormat="1" applyFont="1" applyAlignment="1">
      <alignment horizontal="center" vertical="center"/>
    </xf>
    <xf numFmtId="0" fontId="0" fillId="0" borderId="0" xfId="0" applyAlignment="1">
      <alignment horizontal="center" vertical="center"/>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4" fontId="3"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4" fontId="3" fillId="0" borderId="8" xfId="0" applyNumberFormat="1"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6" fillId="0" borderId="8" xfId="0" applyFont="1" applyBorder="1" applyAlignment="1">
      <alignment horizontal="center" vertical="center" wrapText="1"/>
    </xf>
    <xf numFmtId="0" fontId="1" fillId="0" borderId="3" xfId="0" applyFont="1" applyBorder="1" applyAlignment="1">
      <alignment horizontal="right" vertical="center" wrapText="1"/>
    </xf>
    <xf numFmtId="0" fontId="6" fillId="0" borderId="79" xfId="0" applyFont="1" applyBorder="1" applyAlignment="1">
      <alignment horizontal="center" vertical="center" wrapText="1"/>
    </xf>
    <xf numFmtId="0" fontId="1" fillId="0" borderId="79" xfId="0" applyFont="1" applyBorder="1" applyAlignment="1">
      <alignment horizontal="right" vertical="center" wrapText="1"/>
    </xf>
    <xf numFmtId="4" fontId="1" fillId="0" borderId="79" xfId="0" applyNumberFormat="1" applyFont="1" applyBorder="1" applyAlignment="1">
      <alignment horizontal="right" vertical="center" indent="1"/>
    </xf>
    <xf numFmtId="0" fontId="6" fillId="0" borderId="10" xfId="0" applyFont="1" applyBorder="1" applyAlignment="1">
      <alignment horizontal="center" vertical="center" wrapText="1"/>
    </xf>
    <xf numFmtId="0" fontId="1" fillId="0" borderId="10" xfId="0" applyFont="1" applyBorder="1" applyAlignment="1">
      <alignment horizontal="right" vertical="center" wrapText="1"/>
    </xf>
    <xf numFmtId="0" fontId="1" fillId="0" borderId="27" xfId="0" applyFont="1" applyBorder="1" applyAlignment="1">
      <alignment vertical="center"/>
    </xf>
    <xf numFmtId="0" fontId="6" fillId="0" borderId="44" xfId="0" applyFont="1" applyBorder="1" applyAlignment="1">
      <alignment horizontal="center" vertical="center"/>
    </xf>
    <xf numFmtId="0" fontId="7" fillId="0" borderId="44" xfId="0" applyFont="1" applyBorder="1"/>
    <xf numFmtId="10" fontId="3" fillId="0" borderId="28" xfId="0" applyNumberFormat="1" applyFont="1" applyBorder="1" applyAlignment="1">
      <alignment horizontal="center" vertical="center"/>
    </xf>
    <xf numFmtId="0" fontId="3" fillId="0" borderId="3" xfId="0" applyFont="1" applyBorder="1" applyAlignment="1">
      <alignment vertical="center"/>
    </xf>
    <xf numFmtId="0" fontId="1" fillId="0" borderId="3" xfId="0" applyFont="1" applyBorder="1" applyAlignment="1">
      <alignment horizontal="center" vertical="center"/>
    </xf>
    <xf numFmtId="0" fontId="7" fillId="0" borderId="3" xfId="0" applyFont="1" applyBorder="1"/>
  </cellXfs>
  <cellStyles count="2">
    <cellStyle name="Migliaia" xfId="1" builtinId="3"/>
    <cellStyle name="Normale" xfId="0" builtinId="0"/>
  </cellStyles>
  <dxfs count="5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zoomScale="170" zoomScaleNormal="170" workbookViewId="0">
      <pane ySplit="1" topLeftCell="A2" activePane="bottomLeft" state="frozen"/>
      <selection pane="bottomLeft" activeCell="A53" sqref="A53"/>
    </sheetView>
  </sheetViews>
  <sheetFormatPr defaultRowHeight="24" customHeight="1" x14ac:dyDescent="0.2"/>
  <cols>
    <col min="1" max="1" width="39.140625" style="1" customWidth="1"/>
    <col min="2" max="4" width="11.140625" style="3" customWidth="1"/>
    <col min="5" max="5" width="50.28515625" style="3" customWidth="1"/>
    <col min="6" max="6" width="11.140625" style="3" customWidth="1"/>
    <col min="7" max="16" width="10.7109375" style="3" customWidth="1"/>
    <col min="17" max="16384" width="9.140625" style="2"/>
  </cols>
  <sheetData>
    <row r="1" spans="1:6" ht="33" customHeight="1" x14ac:dyDescent="0.2">
      <c r="A1" s="305" t="s">
        <v>259</v>
      </c>
      <c r="B1" s="305"/>
      <c r="C1" s="305"/>
      <c r="D1" s="305"/>
      <c r="E1" s="305"/>
      <c r="F1" s="305"/>
    </row>
    <row r="2" spans="1:6" ht="48.75" customHeight="1" x14ac:dyDescent="0.2">
      <c r="A2" s="4" t="s">
        <v>260</v>
      </c>
      <c r="B2" s="8" t="s">
        <v>0</v>
      </c>
      <c r="C2" s="8" t="s">
        <v>1</v>
      </c>
      <c r="D2" s="122" t="s">
        <v>2</v>
      </c>
      <c r="E2" s="4" t="s">
        <v>295</v>
      </c>
      <c r="F2" s="122" t="s">
        <v>3</v>
      </c>
    </row>
    <row r="3" spans="1:6" ht="22.5" customHeight="1" x14ac:dyDescent="0.2">
      <c r="A3" s="5" t="s">
        <v>261</v>
      </c>
      <c r="B3" s="7">
        <v>45822.76</v>
      </c>
      <c r="C3" s="7"/>
      <c r="D3" s="123">
        <f>B3</f>
        <v>45822.76</v>
      </c>
      <c r="E3" s="5" t="s">
        <v>4</v>
      </c>
      <c r="F3" s="123">
        <f t="shared" ref="F3:F18" si="0">B3+C3-D3</f>
        <v>0</v>
      </c>
    </row>
    <row r="4" spans="1:6" ht="22.5" customHeight="1" x14ac:dyDescent="0.2">
      <c r="A4" s="9" t="s">
        <v>262</v>
      </c>
      <c r="B4" s="124">
        <v>19397.240000000002</v>
      </c>
      <c r="C4" s="124"/>
      <c r="D4" s="125">
        <f>B4</f>
        <v>19397.240000000002</v>
      </c>
      <c r="E4" s="9" t="s">
        <v>4</v>
      </c>
      <c r="F4" s="125">
        <f t="shared" si="0"/>
        <v>0</v>
      </c>
    </row>
    <row r="5" spans="1:6" ht="22.5" customHeight="1" x14ac:dyDescent="0.2">
      <c r="A5" s="129" t="s">
        <v>263</v>
      </c>
      <c r="B5" s="130">
        <v>2000</v>
      </c>
      <c r="C5" s="130"/>
      <c r="D5" s="131"/>
      <c r="E5" s="129"/>
      <c r="F5" s="131">
        <f t="shared" si="0"/>
        <v>2000</v>
      </c>
    </row>
    <row r="6" spans="1:6" ht="22.5" customHeight="1" x14ac:dyDescent="0.2">
      <c r="A6" s="9" t="s">
        <v>265</v>
      </c>
      <c r="B6" s="124">
        <v>5000</v>
      </c>
      <c r="C6" s="124"/>
      <c r="D6" s="125">
        <v>2880</v>
      </c>
      <c r="E6" s="9" t="s">
        <v>337</v>
      </c>
      <c r="F6" s="125">
        <f t="shared" si="0"/>
        <v>2120</v>
      </c>
    </row>
    <row r="7" spans="1:6" ht="22.5" customHeight="1" x14ac:dyDescent="0.2">
      <c r="A7" s="9" t="s">
        <v>264</v>
      </c>
      <c r="B7" s="124">
        <v>1000</v>
      </c>
      <c r="C7" s="124"/>
      <c r="D7" s="125">
        <v>1000</v>
      </c>
      <c r="E7" s="9" t="s">
        <v>337</v>
      </c>
      <c r="F7" s="125">
        <f t="shared" si="0"/>
        <v>0</v>
      </c>
    </row>
    <row r="8" spans="1:6" ht="22.5" customHeight="1" x14ac:dyDescent="0.2">
      <c r="A8" s="9" t="s">
        <v>266</v>
      </c>
      <c r="B8" s="124">
        <v>700</v>
      </c>
      <c r="C8" s="124"/>
      <c r="D8" s="125">
        <v>420</v>
      </c>
      <c r="E8" s="9" t="s">
        <v>299</v>
      </c>
      <c r="F8" s="125">
        <f t="shared" si="0"/>
        <v>280</v>
      </c>
    </row>
    <row r="9" spans="1:6" ht="22.5" customHeight="1" x14ac:dyDescent="0.2">
      <c r="A9" s="5" t="s">
        <v>267</v>
      </c>
      <c r="B9" s="7">
        <v>53000</v>
      </c>
      <c r="C9" s="7"/>
      <c r="D9" s="123">
        <f>2500+2500+3000+(3000/12)+(3000/12*11)</f>
        <v>11000</v>
      </c>
      <c r="E9" s="5" t="s">
        <v>294</v>
      </c>
      <c r="F9" s="123"/>
    </row>
    <row r="10" spans="1:6" ht="22.5" customHeight="1" x14ac:dyDescent="0.2">
      <c r="A10" s="5"/>
      <c r="B10" s="7"/>
      <c r="C10" s="7"/>
      <c r="D10" s="123">
        <f>2500+2500+3000+2500</f>
        <v>10500</v>
      </c>
      <c r="E10" s="5" t="s">
        <v>301</v>
      </c>
      <c r="F10" s="123"/>
    </row>
    <row r="11" spans="1:6" ht="22.5" customHeight="1" x14ac:dyDescent="0.2">
      <c r="A11" s="5"/>
      <c r="B11" s="7"/>
      <c r="C11" s="7"/>
      <c r="D11" s="123">
        <v>7500</v>
      </c>
      <c r="E11" s="5" t="s">
        <v>297</v>
      </c>
      <c r="F11" s="123"/>
    </row>
    <row r="12" spans="1:6" ht="22.5" customHeight="1" x14ac:dyDescent="0.2">
      <c r="A12" s="5"/>
      <c r="B12" s="7"/>
      <c r="C12" s="7"/>
      <c r="D12" s="123">
        <f>2500/12*10</f>
        <v>2083.3333333333335</v>
      </c>
      <c r="E12" s="5" t="s">
        <v>304</v>
      </c>
      <c r="F12" s="123"/>
    </row>
    <row r="13" spans="1:6" ht="22.5" customHeight="1" x14ac:dyDescent="0.2">
      <c r="A13" s="5"/>
      <c r="B13" s="7"/>
      <c r="C13" s="7"/>
      <c r="D13" s="123">
        <v>3000</v>
      </c>
      <c r="E13" s="5" t="s">
        <v>305</v>
      </c>
      <c r="F13" s="123"/>
    </row>
    <row r="14" spans="1:6" ht="22.5" customHeight="1" x14ac:dyDescent="0.2">
      <c r="A14" s="5"/>
      <c r="B14" s="7"/>
      <c r="C14" s="7"/>
      <c r="D14" s="123">
        <v>4000</v>
      </c>
      <c r="E14" s="5" t="s">
        <v>303</v>
      </c>
      <c r="F14" s="123"/>
    </row>
    <row r="15" spans="1:6" ht="22.5" customHeight="1" x14ac:dyDescent="0.2">
      <c r="A15" s="5" t="s">
        <v>280</v>
      </c>
      <c r="B15" s="7"/>
      <c r="C15" s="7"/>
      <c r="D15" s="123">
        <f>2750+3000+1800+1800+1800</f>
        <v>11150</v>
      </c>
      <c r="E15" s="5" t="s">
        <v>288</v>
      </c>
      <c r="F15" s="123">
        <f>SUM(B8:C15)-SUM(D8:D15)</f>
        <v>4046.6666666666715</v>
      </c>
    </row>
    <row r="16" spans="1:6" ht="22.5" customHeight="1" x14ac:dyDescent="0.2">
      <c r="A16" s="9"/>
      <c r="B16" s="124"/>
      <c r="C16" s="124"/>
      <c r="D16" s="125">
        <v>2750</v>
      </c>
      <c r="E16" s="9" t="s">
        <v>339</v>
      </c>
      <c r="F16" s="125">
        <f>SUM(B9:C16)-SUM(D9:D16)</f>
        <v>1016.6666666666715</v>
      </c>
    </row>
    <row r="17" spans="1:6" ht="22.5" customHeight="1" x14ac:dyDescent="0.2">
      <c r="A17" s="129" t="s">
        <v>306</v>
      </c>
      <c r="B17" s="130">
        <v>0</v>
      </c>
      <c r="C17" s="130"/>
      <c r="D17" s="131"/>
      <c r="E17" s="129"/>
      <c r="F17" s="131">
        <f t="shared" si="0"/>
        <v>0</v>
      </c>
    </row>
    <row r="18" spans="1:6" ht="22.5" customHeight="1" x14ac:dyDescent="0.2">
      <c r="A18" s="129" t="s">
        <v>268</v>
      </c>
      <c r="B18" s="130"/>
      <c r="C18" s="130">
        <v>0</v>
      </c>
      <c r="D18" s="131"/>
      <c r="E18" s="129"/>
      <c r="F18" s="131">
        <f t="shared" si="0"/>
        <v>0</v>
      </c>
    </row>
    <row r="19" spans="1:6" ht="22.5" customHeight="1" x14ac:dyDescent="0.2">
      <c r="A19" s="129" t="s">
        <v>269</v>
      </c>
      <c r="B19" s="130"/>
      <c r="C19" s="130">
        <v>0</v>
      </c>
      <c r="D19" s="131"/>
      <c r="E19" s="129"/>
      <c r="F19" s="131">
        <f t="shared" ref="F19" si="1">B19+C19-D19</f>
        <v>0</v>
      </c>
    </row>
    <row r="20" spans="1:6" ht="22.5" customHeight="1" x14ac:dyDescent="0.2">
      <c r="A20" s="129" t="s">
        <v>270</v>
      </c>
      <c r="B20" s="130"/>
      <c r="C20" s="130">
        <v>0</v>
      </c>
      <c r="D20" s="131"/>
      <c r="E20" s="129"/>
      <c r="F20" s="131">
        <f t="shared" ref="F20:F22" si="2">B20+C20-D20</f>
        <v>0</v>
      </c>
    </row>
    <row r="21" spans="1:6" ht="22.5" customHeight="1" x14ac:dyDescent="0.2">
      <c r="A21" s="129" t="s">
        <v>271</v>
      </c>
      <c r="B21" s="130"/>
      <c r="C21" s="130">
        <v>0</v>
      </c>
      <c r="D21" s="131"/>
      <c r="E21" s="129"/>
      <c r="F21" s="131">
        <f t="shared" ref="F21" si="3">B21+C21-D21</f>
        <v>0</v>
      </c>
    </row>
    <row r="22" spans="1:6" ht="22.5" customHeight="1" x14ac:dyDescent="0.2">
      <c r="A22" s="129" t="s">
        <v>272</v>
      </c>
      <c r="B22" s="130"/>
      <c r="C22" s="130">
        <v>0</v>
      </c>
      <c r="D22" s="131"/>
      <c r="E22" s="129"/>
      <c r="F22" s="131">
        <f t="shared" si="2"/>
        <v>0</v>
      </c>
    </row>
    <row r="23" spans="1:6" ht="22.5" customHeight="1" x14ac:dyDescent="0.2">
      <c r="A23" s="129" t="s">
        <v>273</v>
      </c>
      <c r="B23" s="130"/>
      <c r="C23" s="130">
        <v>0</v>
      </c>
      <c r="D23" s="131"/>
      <c r="E23" s="129"/>
      <c r="F23" s="131">
        <f t="shared" ref="F23:F25" si="4">B23+C23-D23</f>
        <v>0</v>
      </c>
    </row>
    <row r="24" spans="1:6" ht="22.5" customHeight="1" x14ac:dyDescent="0.2">
      <c r="A24" s="129" t="s">
        <v>274</v>
      </c>
      <c r="B24" s="130"/>
      <c r="C24" s="130">
        <v>0</v>
      </c>
      <c r="D24" s="131"/>
      <c r="E24" s="129"/>
      <c r="F24" s="131">
        <f t="shared" si="4"/>
        <v>0</v>
      </c>
    </row>
    <row r="25" spans="1:6" ht="22.5" customHeight="1" x14ac:dyDescent="0.2">
      <c r="A25" s="129" t="s">
        <v>275</v>
      </c>
      <c r="B25" s="130"/>
      <c r="C25" s="130">
        <v>0</v>
      </c>
      <c r="D25" s="131"/>
      <c r="E25" s="129"/>
      <c r="F25" s="131">
        <f t="shared" si="4"/>
        <v>0</v>
      </c>
    </row>
    <row r="26" spans="1:6" ht="22.5" customHeight="1" x14ac:dyDescent="0.2">
      <c r="A26" s="129" t="s">
        <v>276</v>
      </c>
      <c r="B26" s="130"/>
      <c r="C26" s="130">
        <v>0</v>
      </c>
      <c r="D26" s="131"/>
      <c r="E26" s="129"/>
      <c r="F26" s="131">
        <f t="shared" ref="F26" si="5">B26+C26-D26</f>
        <v>0</v>
      </c>
    </row>
    <row r="27" spans="1:6" ht="22.5" customHeight="1" x14ac:dyDescent="0.2">
      <c r="A27" s="5" t="s">
        <v>277</v>
      </c>
      <c r="B27" s="7">
        <v>88340</v>
      </c>
      <c r="C27" s="7"/>
      <c r="D27" s="123">
        <f>2530.57+(2550.82*2)+2490.08+(1687.05*2)</f>
        <v>13496.390000000001</v>
      </c>
      <c r="E27" s="5" t="s">
        <v>296</v>
      </c>
      <c r="F27" s="123"/>
    </row>
    <row r="28" spans="1:6" ht="22.5" customHeight="1" x14ac:dyDescent="0.2">
      <c r="A28" s="5"/>
      <c r="B28" s="7"/>
      <c r="C28" s="7"/>
      <c r="D28" s="123">
        <v>10735.75</v>
      </c>
      <c r="E28" s="5" t="s">
        <v>302</v>
      </c>
      <c r="F28" s="123"/>
    </row>
    <row r="29" spans="1:6" ht="22.5" customHeight="1" x14ac:dyDescent="0.2">
      <c r="A29" s="5"/>
      <c r="B29" s="7"/>
      <c r="C29" s="7"/>
      <c r="D29" s="123">
        <f>1325+2400+1750+2650+1150</f>
        <v>9275</v>
      </c>
      <c r="E29" s="5" t="s">
        <v>297</v>
      </c>
      <c r="F29" s="123"/>
    </row>
    <row r="30" spans="1:6" ht="22.5" customHeight="1" x14ac:dyDescent="0.2">
      <c r="A30" s="5"/>
      <c r="B30" s="7"/>
      <c r="C30" s="7"/>
      <c r="D30" s="123">
        <v>1000</v>
      </c>
      <c r="E30" s="5" t="s">
        <v>298</v>
      </c>
      <c r="F30" s="123"/>
    </row>
    <row r="31" spans="1:6" ht="22.5" customHeight="1" x14ac:dyDescent="0.2">
      <c r="A31" s="5"/>
      <c r="B31" s="7"/>
      <c r="C31" s="7"/>
      <c r="D31" s="123">
        <v>11349.24</v>
      </c>
      <c r="E31" s="5" t="s">
        <v>338</v>
      </c>
      <c r="F31" s="123"/>
    </row>
    <row r="32" spans="1:6" ht="22.5" customHeight="1" x14ac:dyDescent="0.2">
      <c r="A32" s="5"/>
      <c r="B32" s="7"/>
      <c r="C32" s="7"/>
      <c r="D32" s="123">
        <v>15183.44</v>
      </c>
      <c r="E32" s="5" t="s">
        <v>286</v>
      </c>
      <c r="F32" s="123"/>
    </row>
    <row r="33" spans="1:6" ht="22.5" customHeight="1" x14ac:dyDescent="0.2">
      <c r="A33" s="9"/>
      <c r="B33" s="124"/>
      <c r="C33" s="124"/>
      <c r="D33" s="125">
        <v>27299.51</v>
      </c>
      <c r="E33" s="9" t="s">
        <v>293</v>
      </c>
      <c r="F33" s="125">
        <f>SUM(B27:C33)-SUM(D27:D33)</f>
        <v>0.66999999999825377</v>
      </c>
    </row>
    <row r="34" spans="1:6" ht="22.5" customHeight="1" x14ac:dyDescent="0.2">
      <c r="A34" s="129" t="s">
        <v>278</v>
      </c>
      <c r="B34" s="130"/>
      <c r="C34" s="130">
        <v>0</v>
      </c>
      <c r="D34" s="131"/>
      <c r="E34" s="129"/>
      <c r="F34" s="131">
        <f t="shared" ref="F34:F35" si="6">B34+C34-D34</f>
        <v>0</v>
      </c>
    </row>
    <row r="35" spans="1:6" ht="22.5" customHeight="1" x14ac:dyDescent="0.2">
      <c r="A35" s="129" t="s">
        <v>279</v>
      </c>
      <c r="B35" s="130">
        <v>4000</v>
      </c>
      <c r="C35" s="130"/>
      <c r="D35" s="131"/>
      <c r="E35" s="129"/>
      <c r="F35" s="131">
        <f t="shared" si="6"/>
        <v>4000</v>
      </c>
    </row>
    <row r="36" spans="1:6" ht="22.5" customHeight="1" x14ac:dyDescent="0.2">
      <c r="A36" s="126" t="s">
        <v>281</v>
      </c>
      <c r="B36" s="127">
        <v>5200</v>
      </c>
      <c r="C36" s="127"/>
      <c r="D36" s="128">
        <v>5828.12</v>
      </c>
      <c r="E36" s="126" t="s">
        <v>289</v>
      </c>
      <c r="F36" s="128"/>
    </row>
    <row r="37" spans="1:6" ht="22.5" customHeight="1" x14ac:dyDescent="0.2">
      <c r="A37" s="5" t="s">
        <v>284</v>
      </c>
      <c r="B37" s="7">
        <v>21000</v>
      </c>
      <c r="C37" s="7"/>
      <c r="D37" s="123">
        <v>6378.3</v>
      </c>
      <c r="E37" s="5" t="s">
        <v>290</v>
      </c>
      <c r="F37" s="123"/>
    </row>
    <row r="38" spans="1:6" ht="22.5" customHeight="1" x14ac:dyDescent="0.2">
      <c r="A38" s="5"/>
      <c r="B38" s="7"/>
      <c r="C38" s="7"/>
      <c r="D38" s="123">
        <v>6381.09</v>
      </c>
      <c r="E38" s="5" t="s">
        <v>291</v>
      </c>
      <c r="F38" s="123"/>
    </row>
    <row r="39" spans="1:6" ht="22.5" customHeight="1" x14ac:dyDescent="0.2">
      <c r="A39" s="9"/>
      <c r="B39" s="124"/>
      <c r="C39" s="124"/>
      <c r="D39" s="125">
        <v>6172.5</v>
      </c>
      <c r="E39" s="9" t="s">
        <v>292</v>
      </c>
      <c r="F39" s="125">
        <f>SUM(B36:C39)-SUM(D36:D39)</f>
        <v>1439.989999999998</v>
      </c>
    </row>
    <row r="40" spans="1:6" ht="22.5" customHeight="1" x14ac:dyDescent="0.2">
      <c r="A40" s="129" t="s">
        <v>282</v>
      </c>
      <c r="B40" s="130">
        <v>1830</v>
      </c>
      <c r="C40" s="130"/>
      <c r="D40" s="131">
        <f>1167.29+599.14</f>
        <v>1766.4299999999998</v>
      </c>
      <c r="E40" s="129" t="s">
        <v>300</v>
      </c>
      <c r="F40" s="131">
        <f t="shared" ref="F40:F41" si="7">B40+C40-D40</f>
        <v>63.570000000000164</v>
      </c>
    </row>
    <row r="41" spans="1:6" ht="22.5" customHeight="1" x14ac:dyDescent="0.2">
      <c r="A41" s="129" t="s">
        <v>283</v>
      </c>
      <c r="B41" s="130">
        <v>5000</v>
      </c>
      <c r="C41" s="130"/>
      <c r="D41" s="131">
        <v>5123.68</v>
      </c>
      <c r="E41" s="129" t="s">
        <v>287</v>
      </c>
      <c r="F41" s="131">
        <f t="shared" si="7"/>
        <v>-123.68000000000029</v>
      </c>
    </row>
    <row r="42" spans="1:6" ht="22.5" customHeight="1" x14ac:dyDescent="0.2">
      <c r="A42" s="5"/>
      <c r="B42" s="7">
        <f>SUM(B3:B41)</f>
        <v>252290</v>
      </c>
      <c r="C42" s="7">
        <f>SUM(C3:C41)</f>
        <v>0</v>
      </c>
      <c r="D42" s="123">
        <f>SUM(D3:D41)</f>
        <v>241492.7833333333</v>
      </c>
      <c r="E42" s="5"/>
      <c r="F42" s="123">
        <f>B42+C42-D42</f>
        <v>10797.216666666704</v>
      </c>
    </row>
    <row r="43" spans="1:6" ht="22.5" customHeight="1" x14ac:dyDescent="0.2">
      <c r="A43" s="5"/>
      <c r="B43" s="7"/>
      <c r="C43" s="7"/>
      <c r="D43" s="123"/>
      <c r="E43" s="5"/>
      <c r="F43" s="7"/>
    </row>
    <row r="44" spans="1:6" ht="22.5" customHeight="1" x14ac:dyDescent="0.2">
      <c r="A44" s="5" t="s">
        <v>5</v>
      </c>
      <c r="B44" s="7"/>
      <c r="C44" s="7"/>
      <c r="D44" s="123"/>
      <c r="E44" s="5"/>
      <c r="F44" s="7"/>
    </row>
    <row r="45" spans="1:6" ht="22.5" customHeight="1" x14ac:dyDescent="0.2">
      <c r="A45" s="9" t="s">
        <v>285</v>
      </c>
      <c r="B45" s="124">
        <v>1080</v>
      </c>
      <c r="C45" s="124"/>
      <c r="D45" s="125"/>
      <c r="E45" s="9"/>
      <c r="F45" s="125"/>
    </row>
    <row r="46" spans="1:6" ht="22.5" customHeight="1" x14ac:dyDescent="0.2">
      <c r="A46" s="5"/>
      <c r="B46" s="7">
        <f>SUM(B45:B45)</f>
        <v>1080</v>
      </c>
      <c r="C46" s="7"/>
      <c r="D46" s="123">
        <f>SUM(D45:D45)</f>
        <v>0</v>
      </c>
      <c r="E46" s="5"/>
      <c r="F46" s="123">
        <f>B46+C46-D46</f>
        <v>1080</v>
      </c>
    </row>
    <row r="47" spans="1:6" ht="24" customHeight="1" x14ac:dyDescent="0.2">
      <c r="A47" s="5"/>
      <c r="B47" s="6"/>
      <c r="C47" s="6"/>
    </row>
    <row r="48" spans="1:6" ht="24" customHeight="1" x14ac:dyDescent="0.2">
      <c r="A48" s="304" t="s">
        <v>504</v>
      </c>
      <c r="B48" s="171">
        <f>B42+B46</f>
        <v>253370</v>
      </c>
    </row>
    <row r="49" spans="1:6" ht="24" customHeight="1" x14ac:dyDescent="0.2">
      <c r="B49" s="171"/>
    </row>
    <row r="50" spans="1:6" ht="22.5" customHeight="1" x14ac:dyDescent="0.2">
      <c r="A50" s="5" t="s">
        <v>503</v>
      </c>
      <c r="B50" s="7">
        <f>PO!D10</f>
        <v>70012.92</v>
      </c>
      <c r="C50" s="7"/>
      <c r="D50" s="123">
        <f>B50</f>
        <v>70012.92</v>
      </c>
      <c r="E50" s="5"/>
      <c r="F50" s="123">
        <f t="shared" ref="F50" si="8">B50+C50-D50</f>
        <v>0</v>
      </c>
    </row>
  </sheetData>
  <mergeCells count="1">
    <mergeCell ref="A1:F1"/>
  </mergeCells>
  <phoneticPr fontId="0" type="noConversion"/>
  <printOptions horizontalCentered="1"/>
  <pageMargins left="0.59055118110236227" right="0.39370078740157483" top="0.78740157480314965" bottom="0.78740157480314965" header="0.31496062992125984" footer="0.51181102362204722"/>
  <pageSetup paperSize="9" orientation="landscape"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46"/>
  <sheetViews>
    <sheetView topLeftCell="A28" workbookViewId="0">
      <selection activeCell="B290" sqref="B290:B291"/>
    </sheetView>
  </sheetViews>
  <sheetFormatPr defaultRowHeight="12.75" x14ac:dyDescent="0.2"/>
  <cols>
    <col min="1" max="1" width="20.42578125" style="2" customWidth="1"/>
    <col min="2" max="10" width="11" style="6" customWidth="1"/>
    <col min="11" max="11" width="11" style="21" customWidth="1"/>
    <col min="12" max="16384" width="9.140625" style="21"/>
  </cols>
  <sheetData>
    <row r="1" spans="1:10" ht="29.25" customHeight="1" x14ac:dyDescent="0.2">
      <c r="A1" s="378" t="s">
        <v>348</v>
      </c>
      <c r="B1" s="378"/>
      <c r="C1" s="378"/>
      <c r="D1" s="378"/>
      <c r="E1" s="378"/>
      <c r="F1" s="378"/>
      <c r="G1" s="378"/>
      <c r="H1" s="378"/>
      <c r="I1" s="378"/>
      <c r="J1" s="378"/>
    </row>
    <row r="2" spans="1:10" ht="21.75" customHeight="1" x14ac:dyDescent="0.2">
      <c r="A2" s="174"/>
      <c r="B2" s="175" t="s">
        <v>349</v>
      </c>
      <c r="C2" s="175" t="s">
        <v>350</v>
      </c>
      <c r="D2" s="175" t="s">
        <v>351</v>
      </c>
      <c r="E2" s="175" t="s">
        <v>352</v>
      </c>
      <c r="F2" s="175" t="s">
        <v>353</v>
      </c>
      <c r="G2" s="175" t="s">
        <v>354</v>
      </c>
      <c r="H2" s="175" t="s">
        <v>355</v>
      </c>
      <c r="I2" s="175" t="s">
        <v>356</v>
      </c>
      <c r="J2" s="176" t="s">
        <v>357</v>
      </c>
    </row>
    <row r="3" spans="1:10" ht="21.75" customHeight="1" x14ac:dyDescent="0.2">
      <c r="A3" s="177" t="s">
        <v>358</v>
      </c>
      <c r="B3" s="178"/>
      <c r="C3" s="178"/>
      <c r="D3" s="178"/>
      <c r="E3" s="178"/>
      <c r="F3" s="178"/>
      <c r="G3" s="178"/>
      <c r="H3" s="178"/>
      <c r="I3" s="178"/>
      <c r="J3" s="179"/>
    </row>
    <row r="4" spans="1:10" ht="21.75" customHeight="1" x14ac:dyDescent="0.2">
      <c r="A4" s="180" t="s">
        <v>359</v>
      </c>
      <c r="B4" s="181">
        <v>13985.97</v>
      </c>
      <c r="C4" s="181">
        <v>14758.55</v>
      </c>
      <c r="D4" s="181">
        <v>15599.16</v>
      </c>
      <c r="E4" s="181">
        <v>16523.75</v>
      </c>
      <c r="F4" s="181">
        <f>E4</f>
        <v>16523.75</v>
      </c>
      <c r="G4" s="181">
        <v>18131.79</v>
      </c>
      <c r="H4" s="181">
        <f>G4</f>
        <v>18131.79</v>
      </c>
      <c r="I4" s="181">
        <v>20971.419999999998</v>
      </c>
      <c r="J4" s="182">
        <f>I4</f>
        <v>20971.419999999998</v>
      </c>
    </row>
    <row r="5" spans="1:10" ht="21.75" customHeight="1" x14ac:dyDescent="0.2">
      <c r="A5" s="180" t="s">
        <v>189</v>
      </c>
      <c r="B5" s="181">
        <f>B4/12</f>
        <v>1165.4974999999999</v>
      </c>
      <c r="C5" s="181">
        <f t="shared" ref="C5:J5" si="0">C4/12</f>
        <v>1229.8791666666666</v>
      </c>
      <c r="D5" s="181">
        <f t="shared" si="0"/>
        <v>1299.93</v>
      </c>
      <c r="E5" s="181">
        <f t="shared" si="0"/>
        <v>1376.9791666666667</v>
      </c>
      <c r="F5" s="181">
        <f t="shared" si="0"/>
        <v>1376.9791666666667</v>
      </c>
      <c r="G5" s="181">
        <f t="shared" si="0"/>
        <v>1510.9825000000001</v>
      </c>
      <c r="H5" s="181">
        <f t="shared" si="0"/>
        <v>1510.9825000000001</v>
      </c>
      <c r="I5" s="181">
        <f t="shared" si="0"/>
        <v>1747.6183333333331</v>
      </c>
      <c r="J5" s="182">
        <f t="shared" si="0"/>
        <v>1747.6183333333331</v>
      </c>
    </row>
    <row r="6" spans="1:10" ht="21.75" customHeight="1" x14ac:dyDescent="0.2">
      <c r="A6" s="180" t="s">
        <v>360</v>
      </c>
      <c r="B6" s="181">
        <f>B$290</f>
        <v>64.56</v>
      </c>
      <c r="C6" s="181">
        <f>B$290</f>
        <v>64.56</v>
      </c>
      <c r="D6" s="181"/>
      <c r="E6" s="181"/>
      <c r="F6" s="181">
        <f>B$285</f>
        <v>980.3</v>
      </c>
      <c r="G6" s="181"/>
      <c r="H6" s="181">
        <f>B$285</f>
        <v>980.3</v>
      </c>
      <c r="I6" s="181"/>
      <c r="J6" s="182">
        <f>B$285</f>
        <v>980.3</v>
      </c>
    </row>
    <row r="7" spans="1:10" ht="21.75" customHeight="1" x14ac:dyDescent="0.2">
      <c r="A7" s="183" t="s">
        <v>361</v>
      </c>
      <c r="B7" s="184">
        <v>388.68</v>
      </c>
      <c r="C7" s="184">
        <v>471.6</v>
      </c>
      <c r="D7" s="184">
        <v>471.6</v>
      </c>
      <c r="E7" s="184">
        <v>549.6</v>
      </c>
      <c r="F7" s="184">
        <v>549.6</v>
      </c>
      <c r="G7" s="184">
        <v>622.79999999999995</v>
      </c>
      <c r="H7" s="184">
        <v>622.79999999999995</v>
      </c>
      <c r="I7" s="184">
        <v>622.79999999999995</v>
      </c>
      <c r="J7" s="185">
        <v>622.79999999999995</v>
      </c>
    </row>
    <row r="8" spans="1:10" ht="21.75" customHeight="1" x14ac:dyDescent="0.2">
      <c r="A8" s="186" t="s">
        <v>104</v>
      </c>
      <c r="B8" s="181">
        <f t="shared" ref="B8:J8" si="1">SUM(B4:B7)</f>
        <v>15604.707499999999</v>
      </c>
      <c r="C8" s="181">
        <f t="shared" si="1"/>
        <v>16524.589166666665</v>
      </c>
      <c r="D8" s="181">
        <f t="shared" si="1"/>
        <v>17370.689999999999</v>
      </c>
      <c r="E8" s="181">
        <f t="shared" si="1"/>
        <v>18450.329166666666</v>
      </c>
      <c r="F8" s="181">
        <f t="shared" si="1"/>
        <v>19430.629166666666</v>
      </c>
      <c r="G8" s="181">
        <f t="shared" si="1"/>
        <v>20265.572499999998</v>
      </c>
      <c r="H8" s="181">
        <f t="shared" si="1"/>
        <v>21245.872499999998</v>
      </c>
      <c r="I8" s="181">
        <f t="shared" si="1"/>
        <v>23341.83833333333</v>
      </c>
      <c r="J8" s="182">
        <f t="shared" si="1"/>
        <v>24322.138333333329</v>
      </c>
    </row>
    <row r="9" spans="1:10" ht="21.75" customHeight="1" x14ac:dyDescent="0.2">
      <c r="A9" s="177" t="s">
        <v>362</v>
      </c>
      <c r="B9" s="178"/>
      <c r="C9" s="178"/>
      <c r="D9" s="178"/>
      <c r="E9" s="178"/>
      <c r="F9" s="178"/>
      <c r="G9" s="178"/>
      <c r="H9" s="178"/>
      <c r="I9" s="178"/>
      <c r="J9" s="179"/>
    </row>
    <row r="10" spans="1:10" ht="21.75" customHeight="1" x14ac:dyDescent="0.2">
      <c r="A10" s="180" t="s">
        <v>363</v>
      </c>
      <c r="B10" s="181">
        <f t="shared" ref="B10:J10" si="2">B8*0.238</f>
        <v>3713.9203849999994</v>
      </c>
      <c r="C10" s="181">
        <f t="shared" si="2"/>
        <v>3932.8522216666661</v>
      </c>
      <c r="D10" s="181">
        <f t="shared" si="2"/>
        <v>4134.2242199999991</v>
      </c>
      <c r="E10" s="181">
        <f t="shared" si="2"/>
        <v>4391.1783416666667</v>
      </c>
      <c r="F10" s="181">
        <f t="shared" si="2"/>
        <v>4624.4897416666663</v>
      </c>
      <c r="G10" s="181">
        <f t="shared" si="2"/>
        <v>4823.2062549999991</v>
      </c>
      <c r="H10" s="181">
        <f t="shared" si="2"/>
        <v>5056.5176549999996</v>
      </c>
      <c r="I10" s="181">
        <f t="shared" si="2"/>
        <v>5555.3575233333322</v>
      </c>
      <c r="J10" s="182">
        <f t="shared" si="2"/>
        <v>5788.6689233333318</v>
      </c>
    </row>
    <row r="11" spans="1:10" ht="21.75" customHeight="1" x14ac:dyDescent="0.2">
      <c r="A11" s="180" t="s">
        <v>364</v>
      </c>
      <c r="B11" s="181">
        <f>(B4+B5+B6)*0.0288</f>
        <v>438.22159199999993</v>
      </c>
      <c r="C11" s="181">
        <f t="shared" ref="C11:J11" si="3">(C4+C5+C6)*0.0288</f>
        <v>462.32608799999991</v>
      </c>
      <c r="D11" s="181">
        <f t="shared" si="3"/>
        <v>486.69379199999997</v>
      </c>
      <c r="E11" s="181">
        <f t="shared" si="3"/>
        <v>515.54100000000005</v>
      </c>
      <c r="F11" s="181">
        <f t="shared" si="3"/>
        <v>543.77364</v>
      </c>
      <c r="G11" s="181">
        <f t="shared" si="3"/>
        <v>565.71184799999992</v>
      </c>
      <c r="H11" s="181">
        <f t="shared" si="3"/>
        <v>593.94448799999998</v>
      </c>
      <c r="I11" s="181">
        <f t="shared" si="3"/>
        <v>654.30830399999991</v>
      </c>
      <c r="J11" s="182">
        <f t="shared" si="3"/>
        <v>682.54094399999985</v>
      </c>
    </row>
    <row r="12" spans="1:10" ht="21.75" customHeight="1" x14ac:dyDescent="0.2">
      <c r="A12" s="183" t="s">
        <v>365</v>
      </c>
      <c r="B12" s="184">
        <f>B8/1000*24*1.01</f>
        <v>378.2581098</v>
      </c>
      <c r="C12" s="184">
        <f>C8/1000*5*1.01</f>
        <v>83.449175291666648</v>
      </c>
      <c r="D12" s="184">
        <f>D8/1000*5*1.01</f>
        <v>87.721984499999991</v>
      </c>
      <c r="E12" s="184">
        <f>E8/1000*5*1.01</f>
        <v>93.174162291666661</v>
      </c>
      <c r="F12" s="184">
        <f>F8/1000*10*1.01</f>
        <v>196.24935458333331</v>
      </c>
      <c r="G12" s="184">
        <f>G8/1000*5*1.01</f>
        <v>102.34114112499998</v>
      </c>
      <c r="H12" s="184">
        <f>H8/1000*10*1.01</f>
        <v>214.58331224999995</v>
      </c>
      <c r="I12" s="184">
        <f>I8/1000*5*1.01</f>
        <v>117.8762835833333</v>
      </c>
      <c r="J12" s="185">
        <f>J8/1000*10*1.01</f>
        <v>245.6535971666666</v>
      </c>
    </row>
    <row r="13" spans="1:10" ht="21.75" customHeight="1" x14ac:dyDescent="0.2">
      <c r="A13" s="187" t="s">
        <v>104</v>
      </c>
      <c r="B13" s="184">
        <f>SUM(B10:B12)</f>
        <v>4530.4000867999994</v>
      </c>
      <c r="C13" s="184">
        <f t="shared" ref="C13:J13" si="4">SUM(C10:C12)</f>
        <v>4478.6274849583324</v>
      </c>
      <c r="D13" s="184">
        <f t="shared" si="4"/>
        <v>4708.6399964999991</v>
      </c>
      <c r="E13" s="184">
        <f t="shared" si="4"/>
        <v>4999.8935039583339</v>
      </c>
      <c r="F13" s="184">
        <f t="shared" si="4"/>
        <v>5364.5127362499998</v>
      </c>
      <c r="G13" s="184">
        <f t="shared" si="4"/>
        <v>5491.259244124999</v>
      </c>
      <c r="H13" s="184">
        <f t="shared" si="4"/>
        <v>5865.0454552499996</v>
      </c>
      <c r="I13" s="184">
        <f t="shared" si="4"/>
        <v>6327.5421109166655</v>
      </c>
      <c r="J13" s="185">
        <f t="shared" si="4"/>
        <v>6716.8634644999975</v>
      </c>
    </row>
    <row r="14" spans="1:10" ht="21.75" customHeight="1" x14ac:dyDescent="0.2">
      <c r="A14" s="177"/>
      <c r="B14" s="178"/>
      <c r="C14" s="178"/>
      <c r="D14" s="178"/>
      <c r="E14" s="178"/>
      <c r="F14" s="178"/>
      <c r="G14" s="178"/>
      <c r="H14" s="178"/>
      <c r="I14" s="178"/>
      <c r="J14" s="179"/>
    </row>
    <row r="15" spans="1:10" ht="21.75" customHeight="1" x14ac:dyDescent="0.2">
      <c r="A15" s="177" t="s">
        <v>366</v>
      </c>
      <c r="B15" s="184">
        <f t="shared" ref="B15:J15" si="5">B8*0.085</f>
        <v>1326.4001375</v>
      </c>
      <c r="C15" s="184">
        <f t="shared" si="5"/>
        <v>1404.5900791666666</v>
      </c>
      <c r="D15" s="184">
        <f t="shared" si="5"/>
        <v>1476.50865</v>
      </c>
      <c r="E15" s="184">
        <f t="shared" si="5"/>
        <v>1568.2779791666667</v>
      </c>
      <c r="F15" s="184">
        <f t="shared" si="5"/>
        <v>1651.6034791666666</v>
      </c>
      <c r="G15" s="184">
        <f t="shared" si="5"/>
        <v>1722.5736625</v>
      </c>
      <c r="H15" s="184">
        <f t="shared" si="5"/>
        <v>1805.8991624999999</v>
      </c>
      <c r="I15" s="184">
        <f t="shared" si="5"/>
        <v>1984.0562583333331</v>
      </c>
      <c r="J15" s="185">
        <f t="shared" si="5"/>
        <v>2067.381758333333</v>
      </c>
    </row>
    <row r="16" spans="1:10" ht="21.75" customHeight="1" x14ac:dyDescent="0.2">
      <c r="A16" s="177"/>
      <c r="B16" s="188"/>
      <c r="C16" s="188"/>
      <c r="D16" s="188"/>
      <c r="E16" s="188"/>
      <c r="F16" s="188"/>
      <c r="G16" s="188"/>
      <c r="H16" s="188"/>
      <c r="I16" s="188"/>
      <c r="J16" s="189"/>
    </row>
    <row r="17" spans="1:10" ht="21.75" customHeight="1" x14ac:dyDescent="0.2">
      <c r="A17" s="190" t="s">
        <v>367</v>
      </c>
      <c r="B17" s="191">
        <f>B8+B13+B15</f>
        <v>21461.507724299998</v>
      </c>
      <c r="C17" s="191">
        <f t="shared" ref="C17:J17" si="6">C8+C13+C15</f>
        <v>22407.806730791664</v>
      </c>
      <c r="D17" s="191">
        <f t="shared" si="6"/>
        <v>23555.838646499997</v>
      </c>
      <c r="E17" s="191">
        <f t="shared" si="6"/>
        <v>25018.500649791666</v>
      </c>
      <c r="F17" s="191">
        <f t="shared" si="6"/>
        <v>26446.745382083333</v>
      </c>
      <c r="G17" s="191">
        <f t="shared" si="6"/>
        <v>27479.405406624996</v>
      </c>
      <c r="H17" s="191">
        <f t="shared" si="6"/>
        <v>28916.817117749997</v>
      </c>
      <c r="I17" s="191">
        <f t="shared" si="6"/>
        <v>31653.436702583331</v>
      </c>
      <c r="J17" s="192">
        <f t="shared" si="6"/>
        <v>33106.383556166664</v>
      </c>
    </row>
    <row r="18" spans="1:10" ht="13.5" customHeight="1" x14ac:dyDescent="0.2"/>
    <row r="19" spans="1:10" ht="30.75" customHeight="1" x14ac:dyDescent="0.2">
      <c r="A19" s="374" t="s">
        <v>368</v>
      </c>
      <c r="B19" s="402" t="s">
        <v>369</v>
      </c>
      <c r="C19" s="403"/>
      <c r="D19" s="403"/>
      <c r="E19" s="403"/>
      <c r="F19" s="403"/>
      <c r="G19" s="403"/>
      <c r="H19" s="403"/>
      <c r="I19" s="403"/>
      <c r="J19" s="403"/>
    </row>
    <row r="20" spans="1:10" ht="30.75" customHeight="1" x14ac:dyDescent="0.2">
      <c r="A20" s="374"/>
      <c r="B20" s="402" t="s">
        <v>370</v>
      </c>
      <c r="C20" s="403"/>
      <c r="D20" s="403"/>
      <c r="E20" s="403"/>
      <c r="F20" s="403"/>
      <c r="G20" s="403"/>
      <c r="H20" s="403"/>
      <c r="I20" s="403"/>
      <c r="J20" s="403"/>
    </row>
    <row r="21" spans="1:10" ht="30.75" customHeight="1" x14ac:dyDescent="0.2">
      <c r="A21" s="374"/>
      <c r="B21" s="402" t="s">
        <v>371</v>
      </c>
      <c r="C21" s="403"/>
      <c r="D21" s="403"/>
      <c r="E21" s="403"/>
      <c r="F21" s="403"/>
      <c r="G21" s="403"/>
      <c r="H21" s="403"/>
      <c r="I21" s="403"/>
      <c r="J21" s="403"/>
    </row>
    <row r="22" spans="1:10" ht="13.5" customHeight="1" x14ac:dyDescent="0.2">
      <c r="A22" s="193"/>
      <c r="B22" s="194"/>
    </row>
    <row r="23" spans="1:10" ht="21" customHeight="1" x14ac:dyDescent="0.2">
      <c r="A23" s="378" t="s">
        <v>372</v>
      </c>
      <c r="B23" s="378"/>
      <c r="C23" s="378"/>
      <c r="D23" s="378"/>
      <c r="E23" s="378"/>
      <c r="F23" s="378"/>
      <c r="G23" s="378"/>
      <c r="H23" s="378"/>
      <c r="I23" s="378"/>
      <c r="J23" s="378"/>
    </row>
    <row r="24" spans="1:10" ht="21" customHeight="1" x14ac:dyDescent="0.2"/>
    <row r="25" spans="1:10" ht="21" customHeight="1" x14ac:dyDescent="0.2">
      <c r="A25" s="21"/>
      <c r="B25" s="379" t="s">
        <v>47</v>
      </c>
      <c r="C25" s="392" t="s">
        <v>373</v>
      </c>
      <c r="D25" s="393"/>
      <c r="E25" s="394"/>
      <c r="F25" s="195"/>
      <c r="G25" s="379" t="s">
        <v>47</v>
      </c>
      <c r="H25" s="392" t="s">
        <v>373</v>
      </c>
      <c r="I25" s="393"/>
      <c r="J25" s="394"/>
    </row>
    <row r="26" spans="1:10" ht="21" customHeight="1" x14ac:dyDescent="0.2">
      <c r="A26" s="21"/>
      <c r="B26" s="380"/>
      <c r="C26" s="196">
        <v>37622</v>
      </c>
      <c r="D26" s="399" t="s">
        <v>374</v>
      </c>
      <c r="E26" s="400"/>
      <c r="F26" s="195"/>
      <c r="G26" s="380"/>
      <c r="H26" s="196">
        <v>43191</v>
      </c>
      <c r="I26" s="399" t="s">
        <v>374</v>
      </c>
      <c r="J26" s="400"/>
    </row>
    <row r="27" spans="1:10" ht="21" customHeight="1" x14ac:dyDescent="0.2">
      <c r="A27" s="21"/>
      <c r="B27" s="197" t="s">
        <v>69</v>
      </c>
      <c r="C27" s="198">
        <v>13985.97380143265</v>
      </c>
      <c r="D27" s="199"/>
      <c r="E27" s="200"/>
      <c r="F27" s="21"/>
      <c r="G27" s="197" t="s">
        <v>84</v>
      </c>
      <c r="H27" s="201">
        <v>16523.746278050065</v>
      </c>
      <c r="I27" s="202"/>
      <c r="J27" s="203"/>
    </row>
    <row r="28" spans="1:10" ht="21" customHeight="1" x14ac:dyDescent="0.2">
      <c r="A28" s="21"/>
      <c r="B28" s="204" t="s">
        <v>70</v>
      </c>
      <c r="C28" s="201">
        <v>14205.354043857518</v>
      </c>
      <c r="D28" s="202">
        <f>C28-$C$27</f>
        <v>219.3802424248679</v>
      </c>
      <c r="E28" s="203"/>
      <c r="F28" s="21"/>
      <c r="G28" s="204" t="s">
        <v>85</v>
      </c>
      <c r="H28" s="201">
        <v>16987.459211267025</v>
      </c>
      <c r="I28" s="202">
        <f>H28-$H$27</f>
        <v>463.71293321696066</v>
      </c>
      <c r="J28" s="203"/>
    </row>
    <row r="29" spans="1:10" ht="21" customHeight="1" x14ac:dyDescent="0.2">
      <c r="A29" s="21"/>
      <c r="B29" s="204" t="s">
        <v>71</v>
      </c>
      <c r="C29" s="201">
        <v>14493.486829677679</v>
      </c>
      <c r="D29" s="202">
        <f>C29-$C$27</f>
        <v>507.51302824502818</v>
      </c>
      <c r="E29" s="203"/>
      <c r="F29" s="21"/>
      <c r="G29" s="204" t="s">
        <v>86</v>
      </c>
      <c r="H29" s="201">
        <v>17493.381842924799</v>
      </c>
      <c r="I29" s="202">
        <f>H29-$H$27</f>
        <v>969.63556487473397</v>
      </c>
      <c r="J29" s="203"/>
    </row>
    <row r="30" spans="1:10" ht="21" customHeight="1" x14ac:dyDescent="0.2">
      <c r="A30" s="21"/>
      <c r="B30" s="204" t="s">
        <v>72</v>
      </c>
      <c r="C30" s="201">
        <v>14793.185210378719</v>
      </c>
      <c r="D30" s="202">
        <f>C30-$C$27</f>
        <v>807.21140894606833</v>
      </c>
      <c r="E30" s="203"/>
      <c r="F30" s="21"/>
      <c r="G30" s="204" t="s">
        <v>87</v>
      </c>
      <c r="H30" s="201">
        <v>18140.866811446751</v>
      </c>
      <c r="I30" s="202">
        <f>H30-$H$27</f>
        <v>1617.1205333966864</v>
      </c>
      <c r="J30" s="203"/>
    </row>
    <row r="31" spans="1:10" ht="21" customHeight="1" x14ac:dyDescent="0.2">
      <c r="A31" s="21"/>
      <c r="B31" s="205" t="s">
        <v>73</v>
      </c>
      <c r="C31" s="206">
        <v>15103.77</v>
      </c>
      <c r="D31" s="207">
        <f>C31-$C$27</f>
        <v>1117.7961985673501</v>
      </c>
      <c r="E31" s="208"/>
      <c r="F31" s="21"/>
      <c r="G31" s="205" t="s">
        <v>88</v>
      </c>
      <c r="H31" s="206">
        <v>18826.080000000002</v>
      </c>
      <c r="I31" s="207">
        <f>H31-$H$27</f>
        <v>2302.3337219499372</v>
      </c>
      <c r="J31" s="208"/>
    </row>
    <row r="32" spans="1:10" ht="21" customHeight="1" x14ac:dyDescent="0.2">
      <c r="A32" s="21"/>
      <c r="B32" s="209" t="s">
        <v>76</v>
      </c>
      <c r="C32" s="201">
        <v>14758.550218616205</v>
      </c>
      <c r="D32" s="210"/>
      <c r="E32" s="211"/>
      <c r="F32" s="21"/>
      <c r="G32" s="209" t="s">
        <v>91</v>
      </c>
      <c r="H32" s="201">
        <v>18131.781423096985</v>
      </c>
      <c r="I32" s="210"/>
      <c r="J32" s="211"/>
    </row>
    <row r="33" spans="1:10" ht="21" customHeight="1" x14ac:dyDescent="0.2">
      <c r="A33" s="21"/>
      <c r="B33" s="204" t="s">
        <v>77</v>
      </c>
      <c r="C33" s="201">
        <v>15045.451116528169</v>
      </c>
      <c r="D33" s="202">
        <f t="shared" ref="D33:D38" si="7">C33-$C$32</f>
        <v>286.90089791196442</v>
      </c>
      <c r="E33" s="203"/>
      <c r="F33" s="21"/>
      <c r="G33" s="204" t="s">
        <v>92</v>
      </c>
      <c r="H33" s="201">
        <v>19168.969531367009</v>
      </c>
      <c r="I33" s="202">
        <f>H33-$H$32</f>
        <v>1037.1881082700238</v>
      </c>
      <c r="J33" s="203"/>
    </row>
    <row r="34" spans="1:10" ht="21" customHeight="1" x14ac:dyDescent="0.2">
      <c r="A34" s="21"/>
      <c r="B34" s="204" t="s">
        <v>78</v>
      </c>
      <c r="C34" s="201">
        <v>15599.159670810372</v>
      </c>
      <c r="D34" s="202">
        <f t="shared" si="7"/>
        <v>840.60945219416681</v>
      </c>
      <c r="E34" s="203"/>
      <c r="F34" s="21"/>
      <c r="G34" s="204" t="s">
        <v>93</v>
      </c>
      <c r="H34" s="201">
        <v>20971.411470765957</v>
      </c>
      <c r="I34" s="202">
        <f>H34-$H$32</f>
        <v>2839.6300476689721</v>
      </c>
      <c r="J34" s="203"/>
    </row>
    <row r="35" spans="1:10" ht="21" customHeight="1" x14ac:dyDescent="0.2">
      <c r="A35" s="21"/>
      <c r="B35" s="204" t="s">
        <v>79</v>
      </c>
      <c r="C35" s="201">
        <v>15865.8564651624</v>
      </c>
      <c r="D35" s="202">
        <f t="shared" si="7"/>
        <v>1107.3062465461953</v>
      </c>
      <c r="E35" s="203">
        <f>C35-$C$34</f>
        <v>266.69679435202852</v>
      </c>
      <c r="F35" s="21"/>
      <c r="G35" s="204" t="s">
        <v>94</v>
      </c>
      <c r="H35" s="201">
        <v>22011.036035935071</v>
      </c>
      <c r="I35" s="202">
        <f>H35-$H$32</f>
        <v>3879.2546128380854</v>
      </c>
      <c r="J35" s="203">
        <f>H35-$H$34</f>
        <v>1039.6245651691133</v>
      </c>
    </row>
    <row r="36" spans="1:10" ht="21" customHeight="1" x14ac:dyDescent="0.2">
      <c r="A36" s="21"/>
      <c r="B36" s="204" t="s">
        <v>80</v>
      </c>
      <c r="C36" s="201">
        <v>16178.033354542495</v>
      </c>
      <c r="D36" s="202">
        <f t="shared" si="7"/>
        <v>1419.4831359262898</v>
      </c>
      <c r="E36" s="203">
        <f>C36-$C$34</f>
        <v>578.87368373212303</v>
      </c>
      <c r="F36" s="21"/>
      <c r="G36" s="204" t="s">
        <v>95</v>
      </c>
      <c r="H36" s="201">
        <v>23144.134730848487</v>
      </c>
      <c r="I36" s="202">
        <f>H36-$H$32</f>
        <v>5012.3533077515021</v>
      </c>
      <c r="J36" s="203">
        <f>H36-$H$34</f>
        <v>2172.72326008253</v>
      </c>
    </row>
    <row r="37" spans="1:10" ht="21" customHeight="1" x14ac:dyDescent="0.2">
      <c r="A37" s="21"/>
      <c r="B37" s="204" t="s">
        <v>81</v>
      </c>
      <c r="C37" s="201">
        <v>16512.824976785261</v>
      </c>
      <c r="D37" s="202">
        <f t="shared" si="7"/>
        <v>1754.2747581690564</v>
      </c>
      <c r="E37" s="203">
        <f>C37-$C$34</f>
        <v>913.66530597488963</v>
      </c>
      <c r="F37" s="21"/>
      <c r="G37" s="205" t="s">
        <v>96</v>
      </c>
      <c r="H37" s="206">
        <v>24538.6</v>
      </c>
      <c r="I37" s="202">
        <f>H37-$H$32</f>
        <v>6406.8185769030133</v>
      </c>
      <c r="J37" s="203">
        <f>H37-$H$34</f>
        <v>3567.1885292340412</v>
      </c>
    </row>
    <row r="38" spans="1:10" ht="21" customHeight="1" x14ac:dyDescent="0.2">
      <c r="A38" s="21"/>
      <c r="B38" s="205" t="s">
        <v>82</v>
      </c>
      <c r="C38" s="206">
        <v>16914.04</v>
      </c>
      <c r="D38" s="207">
        <f t="shared" si="7"/>
        <v>2155.4897813837961</v>
      </c>
      <c r="E38" s="208">
        <f>C38-$C$34</f>
        <v>1314.8803291896293</v>
      </c>
      <c r="F38" s="21"/>
      <c r="G38" s="212"/>
      <c r="H38" s="213"/>
      <c r="I38" s="213"/>
      <c r="J38" s="213"/>
    </row>
    <row r="39" spans="1:10" ht="21" customHeight="1" x14ac:dyDescent="0.2">
      <c r="A39" s="21"/>
      <c r="B39" s="21"/>
      <c r="C39" s="21"/>
      <c r="D39" s="21"/>
      <c r="E39" s="21"/>
      <c r="F39" s="21"/>
      <c r="G39" s="21"/>
      <c r="H39" s="21"/>
      <c r="I39" s="21"/>
      <c r="J39" s="21"/>
    </row>
    <row r="40" spans="1:10" ht="21" customHeight="1" x14ac:dyDescent="0.2">
      <c r="A40" s="374" t="s">
        <v>368</v>
      </c>
      <c r="B40" s="390" t="s">
        <v>375</v>
      </c>
      <c r="C40" s="391"/>
      <c r="D40" s="391"/>
      <c r="E40" s="391"/>
      <c r="F40" s="391"/>
      <c r="G40" s="391"/>
      <c r="H40" s="391"/>
      <c r="I40" s="391"/>
      <c r="J40" s="391"/>
    </row>
    <row r="41" spans="1:10" ht="21" customHeight="1" x14ac:dyDescent="0.2">
      <c r="A41" s="374"/>
      <c r="B41" s="390" t="s">
        <v>376</v>
      </c>
      <c r="C41" s="391"/>
      <c r="D41" s="391"/>
      <c r="E41" s="391"/>
      <c r="F41" s="391"/>
      <c r="G41" s="391"/>
      <c r="H41" s="391"/>
      <c r="I41" s="391"/>
      <c r="J41" s="391"/>
    </row>
    <row r="42" spans="1:10" ht="29.25" customHeight="1" x14ac:dyDescent="0.2">
      <c r="A42" s="378" t="s">
        <v>377</v>
      </c>
      <c r="B42" s="378"/>
      <c r="C42" s="378"/>
      <c r="D42" s="378"/>
      <c r="E42" s="378"/>
      <c r="F42" s="378"/>
      <c r="G42" s="378"/>
      <c r="H42" s="378"/>
      <c r="I42" s="378"/>
      <c r="J42" s="378"/>
    </row>
    <row r="43" spans="1:10" ht="21.75" customHeight="1" x14ac:dyDescent="0.2">
      <c r="A43" s="174"/>
      <c r="B43" s="175" t="s">
        <v>349</v>
      </c>
      <c r="C43" s="175" t="s">
        <v>350</v>
      </c>
      <c r="D43" s="175" t="s">
        <v>351</v>
      </c>
      <c r="E43" s="175" t="s">
        <v>352</v>
      </c>
      <c r="F43" s="175" t="s">
        <v>353</v>
      </c>
      <c r="G43" s="175" t="s">
        <v>354</v>
      </c>
      <c r="H43" s="175" t="s">
        <v>355</v>
      </c>
      <c r="I43" s="175" t="s">
        <v>356</v>
      </c>
      <c r="J43" s="176" t="s">
        <v>357</v>
      </c>
    </row>
    <row r="44" spans="1:10" ht="21.75" customHeight="1" x14ac:dyDescent="0.2">
      <c r="A44" s="177" t="s">
        <v>358</v>
      </c>
      <c r="B44" s="178"/>
      <c r="C44" s="178"/>
      <c r="D44" s="178"/>
      <c r="E44" s="178"/>
      <c r="F44" s="178"/>
      <c r="G44" s="178"/>
      <c r="H44" s="178"/>
      <c r="I44" s="178"/>
      <c r="J44" s="179"/>
    </row>
    <row r="45" spans="1:10" ht="21.75" customHeight="1" x14ac:dyDescent="0.2">
      <c r="A45" s="180" t="s">
        <v>359</v>
      </c>
      <c r="B45" s="181">
        <f>C67</f>
        <v>17060.97</v>
      </c>
      <c r="C45" s="181">
        <f>C73</f>
        <v>18034.07</v>
      </c>
      <c r="D45" s="181">
        <f>C75</f>
        <v>19063.8</v>
      </c>
      <c r="E45" s="181">
        <f>H67</f>
        <v>20344.07</v>
      </c>
      <c r="F45" s="181">
        <f>E45</f>
        <v>20344.07</v>
      </c>
      <c r="G45" s="181">
        <f>H73</f>
        <v>22135.47</v>
      </c>
      <c r="H45" s="181">
        <f>G45</f>
        <v>22135.47</v>
      </c>
      <c r="I45" s="181">
        <f>H75</f>
        <v>25451.86</v>
      </c>
      <c r="J45" s="182">
        <f>I45</f>
        <v>25451.86</v>
      </c>
    </row>
    <row r="46" spans="1:10" ht="21.75" customHeight="1" x14ac:dyDescent="0.2">
      <c r="A46" s="180" t="s">
        <v>189</v>
      </c>
      <c r="B46" s="181">
        <f>B45/12</f>
        <v>1421.7475000000002</v>
      </c>
      <c r="C46" s="181">
        <f t="shared" ref="C46:J46" si="8">C45/12</f>
        <v>1502.8391666666666</v>
      </c>
      <c r="D46" s="181">
        <f t="shared" si="8"/>
        <v>1588.6499999999999</v>
      </c>
      <c r="E46" s="181">
        <f t="shared" si="8"/>
        <v>1695.3391666666666</v>
      </c>
      <c r="F46" s="181">
        <f t="shared" si="8"/>
        <v>1695.3391666666666</v>
      </c>
      <c r="G46" s="181">
        <f t="shared" si="8"/>
        <v>1844.6225000000002</v>
      </c>
      <c r="H46" s="181">
        <f t="shared" si="8"/>
        <v>1844.6225000000002</v>
      </c>
      <c r="I46" s="181">
        <f t="shared" si="8"/>
        <v>2120.9883333333332</v>
      </c>
      <c r="J46" s="182">
        <f t="shared" si="8"/>
        <v>2120.9883333333332</v>
      </c>
    </row>
    <row r="47" spans="1:10" ht="21.75" customHeight="1" x14ac:dyDescent="0.2">
      <c r="A47" s="180" t="s">
        <v>360</v>
      </c>
      <c r="B47" s="181">
        <f>B$290</f>
        <v>64.56</v>
      </c>
      <c r="C47" s="181">
        <f>B$290</f>
        <v>64.56</v>
      </c>
      <c r="D47" s="181"/>
      <c r="E47" s="181"/>
      <c r="F47" s="181">
        <f>B$285</f>
        <v>980.3</v>
      </c>
      <c r="G47" s="181"/>
      <c r="H47" s="181">
        <f>B$285</f>
        <v>980.3</v>
      </c>
      <c r="I47" s="181"/>
      <c r="J47" s="182">
        <f>B$285</f>
        <v>980.3</v>
      </c>
    </row>
    <row r="48" spans="1:10" ht="21.75" customHeight="1" x14ac:dyDescent="0.2">
      <c r="A48" s="183" t="s">
        <v>361</v>
      </c>
      <c r="B48" s="184">
        <v>388.68</v>
      </c>
      <c r="C48" s="184">
        <v>471.6</v>
      </c>
      <c r="D48" s="184">
        <v>471.6</v>
      </c>
      <c r="E48" s="184">
        <v>549.6</v>
      </c>
      <c r="F48" s="184">
        <v>549.6</v>
      </c>
      <c r="G48" s="184">
        <v>622.79999999999995</v>
      </c>
      <c r="H48" s="184">
        <v>622.79999999999995</v>
      </c>
      <c r="I48" s="184">
        <v>622.79999999999995</v>
      </c>
      <c r="J48" s="185">
        <v>622.79999999999995</v>
      </c>
    </row>
    <row r="49" spans="1:10" ht="21.75" customHeight="1" x14ac:dyDescent="0.2">
      <c r="A49" s="186" t="s">
        <v>104</v>
      </c>
      <c r="B49" s="181">
        <f t="shared" ref="B49:J49" si="9">SUM(B45:B48)</f>
        <v>18935.957500000004</v>
      </c>
      <c r="C49" s="181">
        <f t="shared" si="9"/>
        <v>20073.069166666664</v>
      </c>
      <c r="D49" s="181">
        <f t="shared" si="9"/>
        <v>21124.05</v>
      </c>
      <c r="E49" s="181">
        <f t="shared" si="9"/>
        <v>22589.009166666663</v>
      </c>
      <c r="F49" s="181">
        <f t="shared" si="9"/>
        <v>23569.309166666662</v>
      </c>
      <c r="G49" s="181">
        <f t="shared" si="9"/>
        <v>24602.892500000002</v>
      </c>
      <c r="H49" s="181">
        <f t="shared" si="9"/>
        <v>25583.192500000001</v>
      </c>
      <c r="I49" s="181">
        <f t="shared" si="9"/>
        <v>28195.648333333334</v>
      </c>
      <c r="J49" s="182">
        <f t="shared" si="9"/>
        <v>29175.948333333334</v>
      </c>
    </row>
    <row r="50" spans="1:10" ht="21.75" customHeight="1" x14ac:dyDescent="0.2">
      <c r="A50" s="177" t="s">
        <v>362</v>
      </c>
      <c r="B50" s="178"/>
      <c r="C50" s="178"/>
      <c r="D50" s="178"/>
      <c r="E50" s="178"/>
      <c r="F50" s="178"/>
      <c r="G50" s="178"/>
      <c r="H50" s="178"/>
      <c r="I50" s="178"/>
      <c r="J50" s="179"/>
    </row>
    <row r="51" spans="1:10" ht="21.75" customHeight="1" x14ac:dyDescent="0.2">
      <c r="A51" s="180" t="s">
        <v>363</v>
      </c>
      <c r="B51" s="181">
        <f t="shared" ref="B51:J51" si="10">B49*0.238</f>
        <v>4506.7578850000009</v>
      </c>
      <c r="C51" s="181">
        <f t="shared" si="10"/>
        <v>4777.3904616666659</v>
      </c>
      <c r="D51" s="181">
        <f t="shared" si="10"/>
        <v>5027.5238999999992</v>
      </c>
      <c r="E51" s="181">
        <f t="shared" si="10"/>
        <v>5376.1841816666656</v>
      </c>
      <c r="F51" s="181">
        <f t="shared" si="10"/>
        <v>5609.4955816666652</v>
      </c>
      <c r="G51" s="181">
        <f t="shared" si="10"/>
        <v>5855.4884149999998</v>
      </c>
      <c r="H51" s="181">
        <f t="shared" si="10"/>
        <v>6088.7998150000003</v>
      </c>
      <c r="I51" s="181">
        <f t="shared" si="10"/>
        <v>6710.5643033333336</v>
      </c>
      <c r="J51" s="182">
        <f t="shared" si="10"/>
        <v>6943.8757033333331</v>
      </c>
    </row>
    <row r="52" spans="1:10" ht="21.75" customHeight="1" x14ac:dyDescent="0.2">
      <c r="A52" s="180" t="s">
        <v>364</v>
      </c>
      <c r="B52" s="181">
        <f>(B45+B46+B47)*0.0288</f>
        <v>534.16159200000004</v>
      </c>
      <c r="C52" s="181">
        <f t="shared" ref="C52:J52" si="11">(C45+C46+C47)*0.0288</f>
        <v>564.52231199999994</v>
      </c>
      <c r="D52" s="181">
        <f t="shared" si="11"/>
        <v>594.79056000000003</v>
      </c>
      <c r="E52" s="181">
        <f t="shared" si="11"/>
        <v>634.73498399999994</v>
      </c>
      <c r="F52" s="181">
        <f t="shared" si="11"/>
        <v>662.96762399999989</v>
      </c>
      <c r="G52" s="181">
        <f t="shared" si="11"/>
        <v>690.62666400000001</v>
      </c>
      <c r="H52" s="181">
        <f t="shared" si="11"/>
        <v>718.85930400000007</v>
      </c>
      <c r="I52" s="181">
        <f t="shared" si="11"/>
        <v>794.09803199999999</v>
      </c>
      <c r="J52" s="182">
        <f t="shared" si="11"/>
        <v>822.33067200000005</v>
      </c>
    </row>
    <row r="53" spans="1:10" ht="21.75" customHeight="1" x14ac:dyDescent="0.2">
      <c r="A53" s="183" t="s">
        <v>365</v>
      </c>
      <c r="B53" s="184">
        <f>B49/1000*24*1.01</f>
        <v>459.00760980000013</v>
      </c>
      <c r="C53" s="184">
        <f>C49/1000*5*1.01</f>
        <v>101.36899929166665</v>
      </c>
      <c r="D53" s="184">
        <f>D49/1000*5*1.01</f>
        <v>106.6764525</v>
      </c>
      <c r="E53" s="184">
        <f>E49/1000*5*1.01</f>
        <v>114.07449629166666</v>
      </c>
      <c r="F53" s="184">
        <f>F49/1000*10*1.01</f>
        <v>238.05002258333332</v>
      </c>
      <c r="G53" s="184">
        <f>G49/1000*5*1.01</f>
        <v>124.244607125</v>
      </c>
      <c r="H53" s="184">
        <f>H49/1000*10*1.01</f>
        <v>258.39024425000002</v>
      </c>
      <c r="I53" s="184">
        <f>I49/1000*5*1.01</f>
        <v>142.38802408333333</v>
      </c>
      <c r="J53" s="185">
        <f>J49/1000*10*1.01</f>
        <v>294.67707816666666</v>
      </c>
    </row>
    <row r="54" spans="1:10" ht="21.75" customHeight="1" x14ac:dyDescent="0.2">
      <c r="A54" s="187" t="s">
        <v>104</v>
      </c>
      <c r="B54" s="184">
        <f>SUM(B51:B53)</f>
        <v>5499.9270868000012</v>
      </c>
      <c r="C54" s="184">
        <f t="shared" ref="C54:J54" si="12">SUM(C51:C53)</f>
        <v>5443.281772958333</v>
      </c>
      <c r="D54" s="184">
        <f t="shared" si="12"/>
        <v>5728.9909124999995</v>
      </c>
      <c r="E54" s="184">
        <f t="shared" si="12"/>
        <v>6124.9936619583323</v>
      </c>
      <c r="F54" s="184">
        <f t="shared" si="12"/>
        <v>6510.5132282499981</v>
      </c>
      <c r="G54" s="184">
        <f t="shared" si="12"/>
        <v>6670.3596861249998</v>
      </c>
      <c r="H54" s="184">
        <f t="shared" si="12"/>
        <v>7066.0493632500002</v>
      </c>
      <c r="I54" s="184">
        <f t="shared" si="12"/>
        <v>7647.0503594166667</v>
      </c>
      <c r="J54" s="185">
        <f t="shared" si="12"/>
        <v>8060.8834534999996</v>
      </c>
    </row>
    <row r="55" spans="1:10" ht="21.75" customHeight="1" x14ac:dyDescent="0.2">
      <c r="A55" s="177"/>
      <c r="B55" s="178"/>
      <c r="C55" s="178"/>
      <c r="D55" s="178"/>
      <c r="E55" s="178"/>
      <c r="F55" s="178"/>
      <c r="G55" s="178"/>
      <c r="H55" s="178"/>
      <c r="I55" s="178"/>
      <c r="J55" s="179"/>
    </row>
    <row r="56" spans="1:10" ht="21.75" customHeight="1" x14ac:dyDescent="0.2">
      <c r="A56" s="177" t="s">
        <v>366</v>
      </c>
      <c r="B56" s="184">
        <f t="shared" ref="B56:J56" si="13">B49*0.085</f>
        <v>1609.5563875000005</v>
      </c>
      <c r="C56" s="184">
        <f t="shared" si="13"/>
        <v>1706.2108791666667</v>
      </c>
      <c r="D56" s="184">
        <f t="shared" si="13"/>
        <v>1795.5442500000001</v>
      </c>
      <c r="E56" s="184">
        <f t="shared" si="13"/>
        <v>1920.0657791666665</v>
      </c>
      <c r="F56" s="184">
        <f t="shared" si="13"/>
        <v>2003.3912791666664</v>
      </c>
      <c r="G56" s="184">
        <f t="shared" si="13"/>
        <v>2091.2458625000004</v>
      </c>
      <c r="H56" s="184">
        <f t="shared" si="13"/>
        <v>2174.5713625000003</v>
      </c>
      <c r="I56" s="184">
        <f t="shared" si="13"/>
        <v>2396.6301083333337</v>
      </c>
      <c r="J56" s="185">
        <f t="shared" si="13"/>
        <v>2479.9556083333337</v>
      </c>
    </row>
    <row r="57" spans="1:10" ht="21.75" customHeight="1" x14ac:dyDescent="0.2">
      <c r="A57" s="177"/>
      <c r="B57" s="188"/>
      <c r="C57" s="188"/>
      <c r="D57" s="188"/>
      <c r="E57" s="188"/>
      <c r="F57" s="188"/>
      <c r="G57" s="188"/>
      <c r="H57" s="188"/>
      <c r="I57" s="188"/>
      <c r="J57" s="189"/>
    </row>
    <row r="58" spans="1:10" ht="21.75" customHeight="1" x14ac:dyDescent="0.2">
      <c r="A58" s="190" t="s">
        <v>367</v>
      </c>
      <c r="B58" s="191">
        <f>B49+B54+B56</f>
        <v>26045.440974300007</v>
      </c>
      <c r="C58" s="191">
        <f t="shared" ref="C58:J58" si="14">C49+C54+C56</f>
        <v>27222.561818791663</v>
      </c>
      <c r="D58" s="191">
        <f t="shared" si="14"/>
        <v>28648.5851625</v>
      </c>
      <c r="E58" s="191">
        <f t="shared" si="14"/>
        <v>30634.068607791662</v>
      </c>
      <c r="F58" s="191">
        <f t="shared" si="14"/>
        <v>32083.213674083327</v>
      </c>
      <c r="G58" s="191">
        <f t="shared" si="14"/>
        <v>33364.498048625006</v>
      </c>
      <c r="H58" s="191">
        <f t="shared" si="14"/>
        <v>34823.813225750004</v>
      </c>
      <c r="I58" s="191">
        <f t="shared" si="14"/>
        <v>38239.328801083335</v>
      </c>
      <c r="J58" s="192">
        <f t="shared" si="14"/>
        <v>39716.78739516667</v>
      </c>
    </row>
    <row r="59" spans="1:10" ht="21.75" customHeight="1" x14ac:dyDescent="0.2"/>
    <row r="60" spans="1:10" ht="23.25" customHeight="1" x14ac:dyDescent="0.2">
      <c r="A60" s="374" t="s">
        <v>368</v>
      </c>
      <c r="B60" s="402" t="s">
        <v>378</v>
      </c>
      <c r="C60" s="403"/>
      <c r="D60" s="403"/>
      <c r="E60" s="403"/>
      <c r="F60" s="403"/>
      <c r="G60" s="403"/>
      <c r="H60" s="403"/>
      <c r="I60" s="403"/>
      <c r="J60" s="403"/>
    </row>
    <row r="61" spans="1:10" ht="23.25" customHeight="1" x14ac:dyDescent="0.2">
      <c r="A61" s="374"/>
      <c r="B61" s="402" t="s">
        <v>379</v>
      </c>
      <c r="C61" s="403"/>
      <c r="D61" s="403"/>
      <c r="E61" s="403"/>
      <c r="F61" s="403"/>
      <c r="G61" s="403"/>
      <c r="H61" s="403"/>
      <c r="I61" s="403"/>
      <c r="J61" s="403"/>
    </row>
    <row r="62" spans="1:10" ht="13.5" customHeight="1" x14ac:dyDescent="0.2">
      <c r="A62" s="193"/>
      <c r="B62" s="194"/>
    </row>
    <row r="63" spans="1:10" ht="21" customHeight="1" x14ac:dyDescent="0.2">
      <c r="A63" s="214"/>
      <c r="B63" s="378" t="s">
        <v>380</v>
      </c>
      <c r="C63" s="378"/>
      <c r="D63" s="378"/>
      <c r="E63" s="378"/>
      <c r="F63" s="378"/>
      <c r="G63" s="378"/>
      <c r="H63" s="378"/>
      <c r="I63" s="378"/>
      <c r="J63" s="378"/>
    </row>
    <row r="64" spans="1:10" ht="21" customHeight="1" x14ac:dyDescent="0.2"/>
    <row r="65" spans="1:10" ht="21" customHeight="1" x14ac:dyDescent="0.2">
      <c r="A65" s="21"/>
      <c r="B65" s="379" t="s">
        <v>47</v>
      </c>
      <c r="C65" s="392" t="s">
        <v>373</v>
      </c>
      <c r="D65" s="393"/>
      <c r="E65" s="394"/>
      <c r="F65" s="195"/>
      <c r="G65" s="379" t="s">
        <v>47</v>
      </c>
      <c r="H65" s="392" t="s">
        <v>373</v>
      </c>
      <c r="I65" s="393"/>
      <c r="J65" s="394"/>
    </row>
    <row r="66" spans="1:10" ht="21" customHeight="1" x14ac:dyDescent="0.2">
      <c r="A66" s="21"/>
      <c r="B66" s="380"/>
      <c r="C66" s="196">
        <v>43191</v>
      </c>
      <c r="D66" s="399" t="s">
        <v>374</v>
      </c>
      <c r="E66" s="400"/>
      <c r="F66" s="195"/>
      <c r="G66" s="380"/>
      <c r="H66" s="196">
        <v>43191</v>
      </c>
      <c r="I66" s="399" t="s">
        <v>374</v>
      </c>
      <c r="J66" s="400"/>
    </row>
    <row r="67" spans="1:10" ht="21" customHeight="1" x14ac:dyDescent="0.2">
      <c r="A67" s="21"/>
      <c r="B67" s="197" t="s">
        <v>69</v>
      </c>
      <c r="C67" s="199">
        <v>17060.97</v>
      </c>
      <c r="D67" s="199"/>
      <c r="E67" s="200"/>
      <c r="F67" s="21"/>
      <c r="G67" s="197" t="s">
        <v>84</v>
      </c>
      <c r="H67" s="202">
        <v>20344.07</v>
      </c>
      <c r="I67" s="202"/>
      <c r="J67" s="203"/>
    </row>
    <row r="68" spans="1:10" ht="21" customHeight="1" x14ac:dyDescent="0.2">
      <c r="A68" s="21"/>
      <c r="B68" s="204" t="s">
        <v>70</v>
      </c>
      <c r="C68" s="202">
        <v>17290.310000000001</v>
      </c>
      <c r="D68" s="202">
        <f>C68-$C$67</f>
        <v>229.34000000000015</v>
      </c>
      <c r="E68" s="203"/>
      <c r="F68" s="21"/>
      <c r="G68" s="204" t="s">
        <v>85</v>
      </c>
      <c r="H68" s="202">
        <v>20829.259999999998</v>
      </c>
      <c r="I68" s="202">
        <f>H68-$H$67</f>
        <v>485.18999999999869</v>
      </c>
      <c r="J68" s="203"/>
    </row>
    <row r="69" spans="1:10" ht="21" customHeight="1" x14ac:dyDescent="0.2">
      <c r="A69" s="21"/>
      <c r="B69" s="204" t="s">
        <v>71</v>
      </c>
      <c r="C69" s="202">
        <v>17656.560000000001</v>
      </c>
      <c r="D69" s="202">
        <f>C69-$C$67</f>
        <v>595.59000000000015</v>
      </c>
      <c r="E69" s="203"/>
      <c r="F69" s="21"/>
      <c r="G69" s="204" t="s">
        <v>86</v>
      </c>
      <c r="H69" s="202">
        <v>21409.82</v>
      </c>
      <c r="I69" s="202">
        <f>H69-$H$67</f>
        <v>1065.75</v>
      </c>
      <c r="J69" s="203"/>
    </row>
    <row r="70" spans="1:10" ht="21" customHeight="1" x14ac:dyDescent="0.2">
      <c r="A70" s="21"/>
      <c r="B70" s="204" t="s">
        <v>72</v>
      </c>
      <c r="C70" s="202">
        <v>17970.54</v>
      </c>
      <c r="D70" s="202">
        <f>C70-$C$67</f>
        <v>909.56999999999971</v>
      </c>
      <c r="E70" s="203"/>
      <c r="F70" s="21"/>
      <c r="G70" s="204" t="s">
        <v>87</v>
      </c>
      <c r="H70" s="202">
        <v>22086.11</v>
      </c>
      <c r="I70" s="202">
        <f>H70-$H$67</f>
        <v>1742.0400000000009</v>
      </c>
      <c r="J70" s="203"/>
    </row>
    <row r="71" spans="1:10" ht="21" customHeight="1" x14ac:dyDescent="0.2">
      <c r="A71" s="21"/>
      <c r="B71" s="204" t="s">
        <v>73</v>
      </c>
      <c r="C71" s="202">
        <v>18341.97</v>
      </c>
      <c r="D71" s="202">
        <f>C71-$C$67</f>
        <v>1281</v>
      </c>
      <c r="E71" s="203"/>
      <c r="F71" s="21"/>
      <c r="G71" s="204" t="s">
        <v>88</v>
      </c>
      <c r="H71" s="202">
        <v>22903.200000000001</v>
      </c>
      <c r="I71" s="202">
        <f>H71-$H$67</f>
        <v>2559.130000000001</v>
      </c>
      <c r="J71" s="203"/>
    </row>
    <row r="72" spans="1:10" ht="21" customHeight="1" x14ac:dyDescent="0.2">
      <c r="A72" s="21"/>
      <c r="B72" s="204" t="s">
        <v>74</v>
      </c>
      <c r="C72" s="207">
        <v>18661.97</v>
      </c>
      <c r="D72" s="207">
        <f>C72-$C$67</f>
        <v>1601</v>
      </c>
      <c r="E72" s="208"/>
      <c r="F72" s="21"/>
      <c r="G72" s="204" t="s">
        <v>89</v>
      </c>
      <c r="H72" s="207">
        <v>23543.200000000001</v>
      </c>
      <c r="I72" s="207">
        <f>H72-$H$67</f>
        <v>3199.130000000001</v>
      </c>
      <c r="J72" s="208"/>
    </row>
    <row r="73" spans="1:10" ht="21" customHeight="1" x14ac:dyDescent="0.2">
      <c r="A73" s="21"/>
      <c r="B73" s="197" t="s">
        <v>76</v>
      </c>
      <c r="C73" s="202">
        <v>18034.07</v>
      </c>
      <c r="D73" s="202"/>
      <c r="E73" s="203"/>
      <c r="F73" s="21"/>
      <c r="G73" s="197" t="s">
        <v>91</v>
      </c>
      <c r="H73" s="202">
        <v>22135.47</v>
      </c>
      <c r="I73" s="202"/>
      <c r="J73" s="203"/>
    </row>
    <row r="74" spans="1:10" ht="21" customHeight="1" x14ac:dyDescent="0.2">
      <c r="A74" s="21"/>
      <c r="B74" s="204" t="s">
        <v>77</v>
      </c>
      <c r="C74" s="202">
        <v>18333.93</v>
      </c>
      <c r="D74" s="202">
        <f>C74-$C$73</f>
        <v>299.86000000000058</v>
      </c>
      <c r="E74" s="203"/>
      <c r="F74" s="21"/>
      <c r="G74" s="204" t="s">
        <v>92</v>
      </c>
      <c r="H74" s="202">
        <v>23220.05</v>
      </c>
      <c r="I74" s="202">
        <f t="shared" ref="I74:I79" si="15">H74-$H$73</f>
        <v>1084.5799999999981</v>
      </c>
      <c r="J74" s="203"/>
    </row>
    <row r="75" spans="1:10" ht="21" customHeight="1" x14ac:dyDescent="0.2">
      <c r="A75" s="21"/>
      <c r="B75" s="204" t="s">
        <v>78</v>
      </c>
      <c r="C75" s="202">
        <v>19063.8</v>
      </c>
      <c r="D75" s="202">
        <f t="shared" ref="D75:D80" si="16">C75-$C$73</f>
        <v>1029.7299999999996</v>
      </c>
      <c r="E75" s="203"/>
      <c r="F75" s="21"/>
      <c r="G75" s="204" t="s">
        <v>93</v>
      </c>
      <c r="H75" s="202">
        <v>25451.86</v>
      </c>
      <c r="I75" s="202">
        <f t="shared" si="15"/>
        <v>3316.3899999999994</v>
      </c>
      <c r="J75" s="203"/>
    </row>
    <row r="76" spans="1:10" ht="21" customHeight="1" x14ac:dyDescent="0.2">
      <c r="A76" s="21"/>
      <c r="B76" s="204" t="s">
        <v>79</v>
      </c>
      <c r="C76" s="202">
        <v>19343.330000000002</v>
      </c>
      <c r="D76" s="202">
        <f t="shared" si="16"/>
        <v>1309.260000000002</v>
      </c>
      <c r="E76" s="203">
        <f>C76-$C$75</f>
        <v>279.53000000000247</v>
      </c>
      <c r="F76" s="21"/>
      <c r="G76" s="204" t="s">
        <v>94</v>
      </c>
      <c r="H76" s="202">
        <v>26538.880000000001</v>
      </c>
      <c r="I76" s="202">
        <f t="shared" si="15"/>
        <v>4403.41</v>
      </c>
      <c r="J76" s="203">
        <f>H76-$H$75</f>
        <v>1087.0200000000004</v>
      </c>
    </row>
    <row r="77" spans="1:10" ht="21" customHeight="1" x14ac:dyDescent="0.2">
      <c r="A77" s="21"/>
      <c r="B77" s="204" t="s">
        <v>80</v>
      </c>
      <c r="C77" s="202">
        <v>19669.91</v>
      </c>
      <c r="D77" s="202">
        <f t="shared" si="16"/>
        <v>1635.8400000000001</v>
      </c>
      <c r="E77" s="203">
        <f>C77-$C$75</f>
        <v>606.11000000000058</v>
      </c>
      <c r="F77" s="21"/>
      <c r="G77" s="204" t="s">
        <v>95</v>
      </c>
      <c r="H77" s="202">
        <v>27723.7</v>
      </c>
      <c r="I77" s="202">
        <f t="shared" si="15"/>
        <v>5588.23</v>
      </c>
      <c r="J77" s="203">
        <f>H77-$H$75</f>
        <v>2271.84</v>
      </c>
    </row>
    <row r="78" spans="1:10" ht="21" customHeight="1" x14ac:dyDescent="0.2">
      <c r="A78" s="21"/>
      <c r="B78" s="204" t="s">
        <v>81</v>
      </c>
      <c r="C78" s="202">
        <v>20019.099999999999</v>
      </c>
      <c r="D78" s="202">
        <f t="shared" si="16"/>
        <v>1985.0299999999988</v>
      </c>
      <c r="E78" s="203">
        <f>C78-$C$75</f>
        <v>955.29999999999927</v>
      </c>
      <c r="F78" s="21"/>
      <c r="G78" s="204" t="s">
        <v>96</v>
      </c>
      <c r="H78" s="202">
        <v>29638.84</v>
      </c>
      <c r="I78" s="202">
        <f t="shared" si="15"/>
        <v>7503.369999999999</v>
      </c>
      <c r="J78" s="203">
        <f>H78-$H$75</f>
        <v>4186.9799999999996</v>
      </c>
    </row>
    <row r="79" spans="1:10" ht="21" customHeight="1" x14ac:dyDescent="0.2">
      <c r="A79" s="21"/>
      <c r="B79" s="204" t="s">
        <v>82</v>
      </c>
      <c r="C79" s="202">
        <v>20788.240000000002</v>
      </c>
      <c r="D79" s="202">
        <f t="shared" si="16"/>
        <v>2754.1700000000019</v>
      </c>
      <c r="E79" s="203">
        <f>C79-$C$75</f>
        <v>1724.4400000000023</v>
      </c>
      <c r="F79" s="21"/>
      <c r="G79" s="205" t="s">
        <v>97</v>
      </c>
      <c r="H79" s="207">
        <v>31138.84</v>
      </c>
      <c r="I79" s="207">
        <f t="shared" si="15"/>
        <v>9003.369999999999</v>
      </c>
      <c r="J79" s="208">
        <f>H79-$H$75</f>
        <v>5686.98</v>
      </c>
    </row>
    <row r="80" spans="1:10" ht="21" customHeight="1" x14ac:dyDescent="0.2">
      <c r="A80" s="21"/>
      <c r="B80" s="205" t="s">
        <v>83</v>
      </c>
      <c r="C80" s="207">
        <v>21248.240000000002</v>
      </c>
      <c r="D80" s="207">
        <f t="shared" si="16"/>
        <v>3214.1700000000019</v>
      </c>
      <c r="E80" s="208">
        <f>C80-$C$75</f>
        <v>2184.4400000000023</v>
      </c>
      <c r="F80" s="21"/>
      <c r="G80" s="21"/>
      <c r="H80" s="21"/>
      <c r="I80" s="21"/>
      <c r="J80" s="21"/>
    </row>
    <row r="81" spans="1:11" ht="21" customHeight="1" x14ac:dyDescent="0.2">
      <c r="A81" s="21"/>
      <c r="B81" s="21"/>
      <c r="C81" s="21"/>
      <c r="D81" s="21"/>
      <c r="E81" s="21"/>
      <c r="F81" s="21"/>
      <c r="G81" s="21"/>
      <c r="H81" s="21"/>
      <c r="I81" s="21"/>
      <c r="J81" s="21"/>
    </row>
    <row r="82" spans="1:11" ht="21" customHeight="1" x14ac:dyDescent="0.2">
      <c r="A82" s="374" t="s">
        <v>368</v>
      </c>
      <c r="B82" s="390" t="s">
        <v>381</v>
      </c>
      <c r="C82" s="391"/>
      <c r="D82" s="391"/>
      <c r="E82" s="391"/>
      <c r="F82" s="391"/>
      <c r="G82" s="391"/>
      <c r="H82" s="391"/>
      <c r="I82" s="391"/>
      <c r="J82" s="391"/>
    </row>
    <row r="83" spans="1:11" ht="21" customHeight="1" x14ac:dyDescent="0.2">
      <c r="A83" s="374"/>
      <c r="B83" s="390" t="s">
        <v>376</v>
      </c>
      <c r="C83" s="391"/>
      <c r="D83" s="391"/>
      <c r="E83" s="391"/>
      <c r="F83" s="391"/>
      <c r="G83" s="391"/>
      <c r="H83" s="391"/>
      <c r="I83" s="391"/>
      <c r="J83" s="391"/>
    </row>
    <row r="84" spans="1:11" ht="21" customHeight="1" x14ac:dyDescent="0.2">
      <c r="A84" s="21"/>
      <c r="B84" s="21"/>
      <c r="C84" s="21"/>
      <c r="D84" s="21"/>
      <c r="E84" s="21"/>
      <c r="F84" s="21"/>
      <c r="G84" s="21"/>
      <c r="H84" s="21"/>
      <c r="I84" s="21"/>
      <c r="J84" s="21"/>
    </row>
    <row r="85" spans="1:11" ht="21" customHeight="1" x14ac:dyDescent="0.2">
      <c r="A85" s="214"/>
      <c r="B85" s="378" t="s">
        <v>382</v>
      </c>
      <c r="C85" s="378"/>
      <c r="D85" s="378"/>
      <c r="E85" s="378"/>
      <c r="F85" s="378"/>
      <c r="G85" s="378"/>
      <c r="H85" s="378"/>
      <c r="I85" s="378"/>
      <c r="J85" s="378"/>
    </row>
    <row r="86" spans="1:11" ht="21" customHeight="1" x14ac:dyDescent="0.2"/>
    <row r="87" spans="1:11" ht="21" customHeight="1" x14ac:dyDescent="0.2">
      <c r="A87" s="21"/>
      <c r="B87" s="395" t="s">
        <v>47</v>
      </c>
      <c r="C87" s="401" t="s">
        <v>383</v>
      </c>
      <c r="D87" s="389"/>
      <c r="E87" s="388" t="s">
        <v>384</v>
      </c>
      <c r="F87" s="388"/>
      <c r="G87" s="395" t="s">
        <v>47</v>
      </c>
      <c r="H87" s="401" t="s">
        <v>383</v>
      </c>
      <c r="I87" s="389"/>
      <c r="J87" s="388" t="s">
        <v>384</v>
      </c>
      <c r="K87" s="389"/>
    </row>
    <row r="88" spans="1:11" ht="21" customHeight="1" x14ac:dyDescent="0.2">
      <c r="A88" s="21"/>
      <c r="B88" s="396"/>
      <c r="C88" s="215">
        <v>43556</v>
      </c>
      <c r="D88" s="216">
        <v>43647</v>
      </c>
      <c r="E88" s="217">
        <v>44652</v>
      </c>
      <c r="F88" s="218">
        <v>44743</v>
      </c>
      <c r="G88" s="396"/>
      <c r="H88" s="215">
        <v>43556</v>
      </c>
      <c r="I88" s="216">
        <v>43647</v>
      </c>
      <c r="J88" s="217">
        <v>44652</v>
      </c>
      <c r="K88" s="216">
        <v>44743</v>
      </c>
    </row>
    <row r="89" spans="1:11" ht="21" customHeight="1" x14ac:dyDescent="0.2">
      <c r="A89" s="21"/>
      <c r="B89" s="219" t="s">
        <v>69</v>
      </c>
      <c r="C89" s="220">
        <f t="shared" ref="C89:C102" si="17">C67*0.0042</f>
        <v>71.656074000000004</v>
      </c>
      <c r="D89" s="200">
        <f t="shared" ref="D89:D102" si="18">C67*0.007</f>
        <v>119.42679000000001</v>
      </c>
      <c r="E89" s="221">
        <f>C67*0.003</f>
        <v>51.182910000000007</v>
      </c>
      <c r="F89" s="222">
        <f>C67*0.005</f>
        <v>85.304850000000002</v>
      </c>
      <c r="G89" s="219" t="s">
        <v>84</v>
      </c>
      <c r="H89" s="220">
        <f t="shared" ref="H89:H101" si="19">H67*0.0042</f>
        <v>85.445093999999997</v>
      </c>
      <c r="I89" s="200">
        <f t="shared" ref="I89:I101" si="20">H67*0.007</f>
        <v>142.40849</v>
      </c>
      <c r="J89" s="221">
        <f t="shared" ref="J89:J101" si="21">H67*0.003</f>
        <v>61.032209999999999</v>
      </c>
      <c r="K89" s="200">
        <f t="shared" ref="K89:K101" si="22">H67*0.005</f>
        <v>101.72035</v>
      </c>
    </row>
    <row r="90" spans="1:11" ht="21" customHeight="1" x14ac:dyDescent="0.2">
      <c r="A90" s="21"/>
      <c r="B90" s="223" t="s">
        <v>70</v>
      </c>
      <c r="C90" s="224">
        <f t="shared" si="17"/>
        <v>72.619302000000005</v>
      </c>
      <c r="D90" s="203">
        <f t="shared" si="18"/>
        <v>121.03217000000001</v>
      </c>
      <c r="E90" s="225">
        <f t="shared" ref="E90:E102" si="23">C68*0.003</f>
        <v>51.870930000000008</v>
      </c>
      <c r="F90" s="226">
        <f t="shared" ref="F90:F102" si="24">C68*0.005</f>
        <v>86.451550000000012</v>
      </c>
      <c r="G90" s="223" t="s">
        <v>85</v>
      </c>
      <c r="H90" s="224">
        <f t="shared" si="19"/>
        <v>87.482891999999993</v>
      </c>
      <c r="I90" s="203">
        <f t="shared" si="20"/>
        <v>145.80481999999998</v>
      </c>
      <c r="J90" s="225">
        <f t="shared" si="21"/>
        <v>62.487779999999994</v>
      </c>
      <c r="K90" s="203">
        <f t="shared" si="22"/>
        <v>104.1463</v>
      </c>
    </row>
    <row r="91" spans="1:11" ht="21" customHeight="1" x14ac:dyDescent="0.2">
      <c r="A91" s="21"/>
      <c r="B91" s="223" t="s">
        <v>71</v>
      </c>
      <c r="C91" s="224">
        <f t="shared" si="17"/>
        <v>74.157551999999995</v>
      </c>
      <c r="D91" s="203">
        <f t="shared" si="18"/>
        <v>123.59592000000001</v>
      </c>
      <c r="E91" s="225">
        <f t="shared" si="23"/>
        <v>52.969680000000004</v>
      </c>
      <c r="F91" s="226">
        <f t="shared" si="24"/>
        <v>88.282800000000009</v>
      </c>
      <c r="G91" s="223" t="s">
        <v>86</v>
      </c>
      <c r="H91" s="224">
        <f t="shared" si="19"/>
        <v>89.921243999999987</v>
      </c>
      <c r="I91" s="203">
        <f t="shared" si="20"/>
        <v>149.86874</v>
      </c>
      <c r="J91" s="225">
        <f t="shared" si="21"/>
        <v>64.229460000000003</v>
      </c>
      <c r="K91" s="203">
        <f t="shared" si="22"/>
        <v>107.0491</v>
      </c>
    </row>
    <row r="92" spans="1:11" ht="21" customHeight="1" x14ac:dyDescent="0.2">
      <c r="A92" s="21"/>
      <c r="B92" s="223" t="s">
        <v>72</v>
      </c>
      <c r="C92" s="224">
        <f t="shared" si="17"/>
        <v>75.476268000000005</v>
      </c>
      <c r="D92" s="203">
        <f t="shared" si="18"/>
        <v>125.79378000000001</v>
      </c>
      <c r="E92" s="225">
        <f t="shared" si="23"/>
        <v>53.911620000000006</v>
      </c>
      <c r="F92" s="226">
        <f t="shared" si="24"/>
        <v>89.852700000000013</v>
      </c>
      <c r="G92" s="223" t="s">
        <v>87</v>
      </c>
      <c r="H92" s="224">
        <f t="shared" si="19"/>
        <v>92.761662000000001</v>
      </c>
      <c r="I92" s="203">
        <f t="shared" si="20"/>
        <v>154.60277000000002</v>
      </c>
      <c r="J92" s="225">
        <f t="shared" si="21"/>
        <v>66.258330000000001</v>
      </c>
      <c r="K92" s="203">
        <f t="shared" si="22"/>
        <v>110.43055000000001</v>
      </c>
    </row>
    <row r="93" spans="1:11" ht="21" customHeight="1" x14ac:dyDescent="0.2">
      <c r="A93" s="21"/>
      <c r="B93" s="223" t="s">
        <v>73</v>
      </c>
      <c r="C93" s="224">
        <f t="shared" si="17"/>
        <v>77.036274000000006</v>
      </c>
      <c r="D93" s="203">
        <f t="shared" si="18"/>
        <v>128.39379000000002</v>
      </c>
      <c r="E93" s="225">
        <f t="shared" si="23"/>
        <v>55.025910000000003</v>
      </c>
      <c r="F93" s="226">
        <f t="shared" si="24"/>
        <v>91.709850000000003</v>
      </c>
      <c r="G93" s="223" t="s">
        <v>88</v>
      </c>
      <c r="H93" s="224">
        <f t="shared" si="19"/>
        <v>96.193439999999995</v>
      </c>
      <c r="I93" s="203">
        <f t="shared" si="20"/>
        <v>160.32240000000002</v>
      </c>
      <c r="J93" s="225">
        <f t="shared" si="21"/>
        <v>68.709600000000009</v>
      </c>
      <c r="K93" s="203">
        <f t="shared" si="22"/>
        <v>114.51600000000001</v>
      </c>
    </row>
    <row r="94" spans="1:11" ht="21" customHeight="1" x14ac:dyDescent="0.2">
      <c r="A94" s="21"/>
      <c r="B94" s="223" t="s">
        <v>74</v>
      </c>
      <c r="C94" s="227">
        <f t="shared" si="17"/>
        <v>78.380274</v>
      </c>
      <c r="D94" s="208">
        <f t="shared" si="18"/>
        <v>130.63379</v>
      </c>
      <c r="E94" s="228">
        <f t="shared" si="23"/>
        <v>55.985910000000004</v>
      </c>
      <c r="F94" s="229">
        <f t="shared" si="24"/>
        <v>93.309850000000012</v>
      </c>
      <c r="G94" s="223" t="s">
        <v>89</v>
      </c>
      <c r="H94" s="227">
        <f t="shared" si="19"/>
        <v>98.881439999999998</v>
      </c>
      <c r="I94" s="208">
        <f t="shared" si="20"/>
        <v>164.80240000000001</v>
      </c>
      <c r="J94" s="228">
        <f t="shared" si="21"/>
        <v>70.629600000000011</v>
      </c>
      <c r="K94" s="208">
        <f t="shared" si="22"/>
        <v>117.71600000000001</v>
      </c>
    </row>
    <row r="95" spans="1:11" ht="21" customHeight="1" x14ac:dyDescent="0.2">
      <c r="A95" s="21"/>
      <c r="B95" s="219" t="s">
        <v>76</v>
      </c>
      <c r="C95" s="230">
        <f t="shared" si="17"/>
        <v>75.743093999999999</v>
      </c>
      <c r="D95" s="211">
        <f t="shared" si="18"/>
        <v>126.23849</v>
      </c>
      <c r="E95" s="231">
        <f t="shared" si="23"/>
        <v>54.102209999999999</v>
      </c>
      <c r="F95" s="232">
        <f t="shared" si="24"/>
        <v>90.170349999999999</v>
      </c>
      <c r="G95" s="219" t="s">
        <v>91</v>
      </c>
      <c r="H95" s="230">
        <f t="shared" si="19"/>
        <v>92.968974000000003</v>
      </c>
      <c r="I95" s="211">
        <f t="shared" si="20"/>
        <v>154.94829000000001</v>
      </c>
      <c r="J95" s="231">
        <f t="shared" si="21"/>
        <v>66.406410000000008</v>
      </c>
      <c r="K95" s="211">
        <f t="shared" si="22"/>
        <v>110.67735</v>
      </c>
    </row>
    <row r="96" spans="1:11" ht="21" customHeight="1" x14ac:dyDescent="0.2">
      <c r="A96" s="21"/>
      <c r="B96" s="223" t="s">
        <v>77</v>
      </c>
      <c r="C96" s="224">
        <f t="shared" si="17"/>
        <v>77.002505999999997</v>
      </c>
      <c r="D96" s="203">
        <f t="shared" si="18"/>
        <v>128.33751000000001</v>
      </c>
      <c r="E96" s="225">
        <f t="shared" si="23"/>
        <v>55.00179</v>
      </c>
      <c r="F96" s="226">
        <f t="shared" si="24"/>
        <v>91.669650000000004</v>
      </c>
      <c r="G96" s="223" t="s">
        <v>92</v>
      </c>
      <c r="H96" s="224">
        <f t="shared" si="19"/>
        <v>97.524209999999997</v>
      </c>
      <c r="I96" s="203">
        <f t="shared" si="20"/>
        <v>162.54034999999999</v>
      </c>
      <c r="J96" s="225">
        <f t="shared" si="21"/>
        <v>69.660150000000002</v>
      </c>
      <c r="K96" s="203">
        <f t="shared" si="22"/>
        <v>116.10025</v>
      </c>
    </row>
    <row r="97" spans="1:11" ht="21" customHeight="1" x14ac:dyDescent="0.2">
      <c r="A97" s="21"/>
      <c r="B97" s="223" t="s">
        <v>78</v>
      </c>
      <c r="C97" s="224">
        <f t="shared" si="17"/>
        <v>80.067959999999985</v>
      </c>
      <c r="D97" s="203">
        <f t="shared" si="18"/>
        <v>133.44659999999999</v>
      </c>
      <c r="E97" s="225">
        <f t="shared" si="23"/>
        <v>57.191400000000002</v>
      </c>
      <c r="F97" s="226">
        <f t="shared" si="24"/>
        <v>95.319000000000003</v>
      </c>
      <c r="G97" s="223" t="s">
        <v>93</v>
      </c>
      <c r="H97" s="224">
        <f t="shared" si="19"/>
        <v>106.897812</v>
      </c>
      <c r="I97" s="203">
        <f t="shared" si="20"/>
        <v>178.16302000000002</v>
      </c>
      <c r="J97" s="225">
        <f t="shared" si="21"/>
        <v>76.355580000000003</v>
      </c>
      <c r="K97" s="203">
        <f t="shared" si="22"/>
        <v>127.25930000000001</v>
      </c>
    </row>
    <row r="98" spans="1:11" ht="21" customHeight="1" x14ac:dyDescent="0.2">
      <c r="A98" s="21"/>
      <c r="B98" s="223" t="s">
        <v>79</v>
      </c>
      <c r="C98" s="224">
        <f t="shared" si="17"/>
        <v>81.241985999999997</v>
      </c>
      <c r="D98" s="203">
        <f t="shared" si="18"/>
        <v>135.40331</v>
      </c>
      <c r="E98" s="225">
        <f t="shared" si="23"/>
        <v>58.029990000000005</v>
      </c>
      <c r="F98" s="226">
        <f t="shared" si="24"/>
        <v>96.716650000000016</v>
      </c>
      <c r="G98" s="223" t="s">
        <v>94</v>
      </c>
      <c r="H98" s="224">
        <f t="shared" si="19"/>
        <v>111.463296</v>
      </c>
      <c r="I98" s="203">
        <f t="shared" si="20"/>
        <v>185.77216000000001</v>
      </c>
      <c r="J98" s="225">
        <f t="shared" si="21"/>
        <v>79.616640000000004</v>
      </c>
      <c r="K98" s="203">
        <f t="shared" si="22"/>
        <v>132.6944</v>
      </c>
    </row>
    <row r="99" spans="1:11" ht="21" customHeight="1" x14ac:dyDescent="0.2">
      <c r="A99" s="21"/>
      <c r="B99" s="223" t="s">
        <v>80</v>
      </c>
      <c r="C99" s="224">
        <f t="shared" si="17"/>
        <v>82.613621999999992</v>
      </c>
      <c r="D99" s="203">
        <f t="shared" si="18"/>
        <v>137.68937</v>
      </c>
      <c r="E99" s="225">
        <f t="shared" si="23"/>
        <v>59.009729999999998</v>
      </c>
      <c r="F99" s="226">
        <f t="shared" si="24"/>
        <v>98.349550000000008</v>
      </c>
      <c r="G99" s="223" t="s">
        <v>95</v>
      </c>
      <c r="H99" s="224">
        <f t="shared" si="19"/>
        <v>116.43953999999999</v>
      </c>
      <c r="I99" s="203">
        <f t="shared" si="20"/>
        <v>194.0659</v>
      </c>
      <c r="J99" s="225">
        <f t="shared" si="21"/>
        <v>83.17110000000001</v>
      </c>
      <c r="K99" s="203">
        <f t="shared" si="22"/>
        <v>138.61850000000001</v>
      </c>
    </row>
    <row r="100" spans="1:11" ht="21" customHeight="1" x14ac:dyDescent="0.2">
      <c r="A100" s="21"/>
      <c r="B100" s="223" t="s">
        <v>81</v>
      </c>
      <c r="C100" s="224">
        <f t="shared" si="17"/>
        <v>84.080219999999983</v>
      </c>
      <c r="D100" s="203">
        <f t="shared" si="18"/>
        <v>140.1337</v>
      </c>
      <c r="E100" s="225">
        <f t="shared" si="23"/>
        <v>60.057299999999998</v>
      </c>
      <c r="F100" s="226">
        <f t="shared" si="24"/>
        <v>100.0955</v>
      </c>
      <c r="G100" s="223" t="s">
        <v>96</v>
      </c>
      <c r="H100" s="224">
        <f t="shared" si="19"/>
        <v>124.48312799999999</v>
      </c>
      <c r="I100" s="203">
        <f t="shared" si="20"/>
        <v>207.47188</v>
      </c>
      <c r="J100" s="225">
        <f t="shared" si="21"/>
        <v>88.916520000000006</v>
      </c>
      <c r="K100" s="203">
        <f t="shared" si="22"/>
        <v>148.1942</v>
      </c>
    </row>
    <row r="101" spans="1:11" ht="21" customHeight="1" x14ac:dyDescent="0.2">
      <c r="A101" s="21"/>
      <c r="B101" s="223" t="s">
        <v>82</v>
      </c>
      <c r="C101" s="224">
        <f t="shared" si="17"/>
        <v>87.310608000000002</v>
      </c>
      <c r="D101" s="203">
        <f t="shared" si="18"/>
        <v>145.51768000000001</v>
      </c>
      <c r="E101" s="225">
        <f t="shared" si="23"/>
        <v>62.364720000000005</v>
      </c>
      <c r="F101" s="226">
        <f t="shared" si="24"/>
        <v>103.94120000000001</v>
      </c>
      <c r="G101" s="233" t="s">
        <v>97</v>
      </c>
      <c r="H101" s="227">
        <f t="shared" si="19"/>
        <v>130.783128</v>
      </c>
      <c r="I101" s="208">
        <f t="shared" si="20"/>
        <v>217.97188</v>
      </c>
      <c r="J101" s="228">
        <f t="shared" si="21"/>
        <v>93.416520000000006</v>
      </c>
      <c r="K101" s="208">
        <f t="shared" si="22"/>
        <v>155.6942</v>
      </c>
    </row>
    <row r="102" spans="1:11" ht="21" customHeight="1" x14ac:dyDescent="0.2">
      <c r="A102" s="21"/>
      <c r="B102" s="233" t="s">
        <v>83</v>
      </c>
      <c r="C102" s="227">
        <f t="shared" si="17"/>
        <v>89.242608000000004</v>
      </c>
      <c r="D102" s="208">
        <f t="shared" si="18"/>
        <v>148.73768000000001</v>
      </c>
      <c r="E102" s="228">
        <f t="shared" si="23"/>
        <v>63.744720000000008</v>
      </c>
      <c r="F102" s="208">
        <f t="shared" si="24"/>
        <v>106.24120000000001</v>
      </c>
      <c r="G102" s="21"/>
      <c r="H102" s="21"/>
      <c r="I102" s="21"/>
      <c r="J102" s="21"/>
    </row>
    <row r="103" spans="1:11" ht="21" customHeight="1" x14ac:dyDescent="0.2">
      <c r="A103" s="21"/>
      <c r="B103" s="21"/>
      <c r="C103" s="21"/>
      <c r="D103" s="21"/>
      <c r="E103" s="21"/>
      <c r="F103" s="21"/>
      <c r="G103" s="21"/>
      <c r="H103" s="21"/>
      <c r="I103" s="21"/>
      <c r="J103" s="21"/>
    </row>
    <row r="104" spans="1:11" ht="21" customHeight="1" x14ac:dyDescent="0.2">
      <c r="A104" s="21"/>
      <c r="B104" s="21"/>
      <c r="C104" s="21"/>
      <c r="D104" s="21"/>
      <c r="E104" s="21"/>
      <c r="F104" s="21"/>
      <c r="G104" s="21"/>
      <c r="H104" s="21"/>
      <c r="I104" s="21"/>
      <c r="J104" s="21"/>
    </row>
    <row r="105" spans="1:11" ht="21" customHeight="1" x14ac:dyDescent="0.2">
      <c r="A105" s="214"/>
      <c r="B105" s="378" t="s">
        <v>385</v>
      </c>
      <c r="C105" s="378"/>
      <c r="D105" s="378"/>
      <c r="E105" s="378"/>
      <c r="F105" s="378"/>
      <c r="G105" s="378"/>
      <c r="H105" s="378"/>
      <c r="I105" s="378"/>
      <c r="J105" s="378"/>
    </row>
    <row r="106" spans="1:11" ht="21" customHeight="1" x14ac:dyDescent="0.2"/>
    <row r="107" spans="1:11" ht="21" customHeight="1" x14ac:dyDescent="0.2">
      <c r="A107" s="21"/>
      <c r="B107" s="379" t="s">
        <v>47</v>
      </c>
      <c r="C107" s="392" t="s">
        <v>373</v>
      </c>
      <c r="D107" s="393"/>
      <c r="E107" s="394"/>
      <c r="F107" s="195"/>
      <c r="G107" s="379" t="s">
        <v>47</v>
      </c>
      <c r="H107" s="392" t="s">
        <v>373</v>
      </c>
      <c r="I107" s="393"/>
      <c r="J107" s="394"/>
    </row>
    <row r="108" spans="1:11" ht="21" customHeight="1" x14ac:dyDescent="0.2">
      <c r="A108" s="21"/>
      <c r="B108" s="380"/>
      <c r="C108" s="196">
        <v>43191</v>
      </c>
      <c r="D108" s="399" t="s">
        <v>374</v>
      </c>
      <c r="E108" s="400"/>
      <c r="F108" s="195"/>
      <c r="G108" s="380"/>
      <c r="H108" s="196">
        <v>43191</v>
      </c>
      <c r="I108" s="399" t="s">
        <v>374</v>
      </c>
      <c r="J108" s="400"/>
    </row>
    <row r="109" spans="1:11" ht="21" customHeight="1" x14ac:dyDescent="0.2">
      <c r="A109" s="21"/>
      <c r="B109" s="197" t="s">
        <v>69</v>
      </c>
      <c r="C109" s="199">
        <f t="shared" ref="C109:C122" si="25">C67/12</f>
        <v>1421.7475000000002</v>
      </c>
      <c r="D109" s="199"/>
      <c r="E109" s="200"/>
      <c r="F109" s="21"/>
      <c r="G109" s="197" t="s">
        <v>84</v>
      </c>
      <c r="H109" s="202">
        <f t="shared" ref="H109:H121" si="26">H67/12</f>
        <v>1695.3391666666666</v>
      </c>
      <c r="I109" s="202"/>
      <c r="J109" s="203"/>
    </row>
    <row r="110" spans="1:11" ht="21" customHeight="1" x14ac:dyDescent="0.2">
      <c r="A110" s="21"/>
      <c r="B110" s="204" t="s">
        <v>70</v>
      </c>
      <c r="C110" s="202">
        <f t="shared" si="25"/>
        <v>1440.8591666666669</v>
      </c>
      <c r="D110" s="202">
        <f>C110-$C$109</f>
        <v>19.111666666666679</v>
      </c>
      <c r="E110" s="203"/>
      <c r="F110" s="21"/>
      <c r="G110" s="204" t="s">
        <v>85</v>
      </c>
      <c r="H110" s="202">
        <f t="shared" si="26"/>
        <v>1735.7716666666665</v>
      </c>
      <c r="I110" s="202">
        <f>H110-$H$109</f>
        <v>40.432499999999891</v>
      </c>
      <c r="J110" s="203"/>
    </row>
    <row r="111" spans="1:11" ht="21" customHeight="1" x14ac:dyDescent="0.2">
      <c r="A111" s="21"/>
      <c r="B111" s="204" t="s">
        <v>71</v>
      </c>
      <c r="C111" s="202">
        <f t="shared" si="25"/>
        <v>1471.38</v>
      </c>
      <c r="D111" s="202">
        <f t="shared" ref="D111:D114" si="27">C111-$C$109</f>
        <v>49.632499999999936</v>
      </c>
      <c r="E111" s="203"/>
      <c r="F111" s="21"/>
      <c r="G111" s="204" t="s">
        <v>86</v>
      </c>
      <c r="H111" s="202">
        <f t="shared" si="26"/>
        <v>1784.1516666666666</v>
      </c>
      <c r="I111" s="202">
        <f t="shared" ref="I111:I114" si="28">H111-$H$109</f>
        <v>88.8125</v>
      </c>
      <c r="J111" s="203"/>
    </row>
    <row r="112" spans="1:11" ht="21" customHeight="1" x14ac:dyDescent="0.2">
      <c r="A112" s="21"/>
      <c r="B112" s="204" t="s">
        <v>72</v>
      </c>
      <c r="C112" s="202">
        <f t="shared" si="25"/>
        <v>1497.5450000000001</v>
      </c>
      <c r="D112" s="202">
        <f t="shared" si="27"/>
        <v>75.7974999999999</v>
      </c>
      <c r="E112" s="203"/>
      <c r="F112" s="21"/>
      <c r="G112" s="204" t="s">
        <v>87</v>
      </c>
      <c r="H112" s="202">
        <f t="shared" si="26"/>
        <v>1840.5091666666667</v>
      </c>
      <c r="I112" s="202">
        <f t="shared" si="28"/>
        <v>145.17000000000007</v>
      </c>
      <c r="J112" s="203"/>
    </row>
    <row r="113" spans="1:10" ht="21" customHeight="1" x14ac:dyDescent="0.2">
      <c r="A113" s="21"/>
      <c r="B113" s="204" t="s">
        <v>73</v>
      </c>
      <c r="C113" s="202">
        <f t="shared" si="25"/>
        <v>1528.4975000000002</v>
      </c>
      <c r="D113" s="202">
        <f t="shared" si="27"/>
        <v>106.75</v>
      </c>
      <c r="E113" s="203"/>
      <c r="F113" s="21"/>
      <c r="G113" s="204" t="s">
        <v>88</v>
      </c>
      <c r="H113" s="202">
        <f t="shared" si="26"/>
        <v>1908.6000000000001</v>
      </c>
      <c r="I113" s="202">
        <f t="shared" si="28"/>
        <v>213.26083333333349</v>
      </c>
      <c r="J113" s="203"/>
    </row>
    <row r="114" spans="1:10" ht="21" customHeight="1" x14ac:dyDescent="0.2">
      <c r="A114" s="21"/>
      <c r="B114" s="204" t="s">
        <v>74</v>
      </c>
      <c r="C114" s="207">
        <f t="shared" si="25"/>
        <v>1555.1641666666667</v>
      </c>
      <c r="D114" s="207">
        <f t="shared" si="27"/>
        <v>133.41666666666652</v>
      </c>
      <c r="E114" s="208"/>
      <c r="F114" s="21"/>
      <c r="G114" s="204" t="s">
        <v>89</v>
      </c>
      <c r="H114" s="207">
        <f t="shared" si="26"/>
        <v>1961.9333333333334</v>
      </c>
      <c r="I114" s="207">
        <f t="shared" si="28"/>
        <v>266.59416666666675</v>
      </c>
      <c r="J114" s="208"/>
    </row>
    <row r="115" spans="1:10" ht="21" customHeight="1" x14ac:dyDescent="0.2">
      <c r="A115" s="21"/>
      <c r="B115" s="197" t="s">
        <v>76</v>
      </c>
      <c r="C115" s="202">
        <f t="shared" si="25"/>
        <v>1502.8391666666666</v>
      </c>
      <c r="D115" s="210"/>
      <c r="E115" s="203"/>
      <c r="F115" s="21"/>
      <c r="G115" s="197" t="s">
        <v>91</v>
      </c>
      <c r="H115" s="202">
        <f t="shared" si="26"/>
        <v>1844.6225000000002</v>
      </c>
      <c r="I115" s="210"/>
      <c r="J115" s="203"/>
    </row>
    <row r="116" spans="1:10" ht="21" customHeight="1" x14ac:dyDescent="0.2">
      <c r="A116" s="21"/>
      <c r="B116" s="204" t="s">
        <v>77</v>
      </c>
      <c r="C116" s="202">
        <f t="shared" si="25"/>
        <v>1527.8275000000001</v>
      </c>
      <c r="D116" s="202">
        <f>C116-$C$115</f>
        <v>24.988333333333458</v>
      </c>
      <c r="E116" s="203"/>
      <c r="F116" s="21"/>
      <c r="G116" s="204" t="s">
        <v>92</v>
      </c>
      <c r="H116" s="202">
        <f t="shared" si="26"/>
        <v>1935.0041666666666</v>
      </c>
      <c r="I116" s="202">
        <f>H116-$H$115</f>
        <v>90.381666666666433</v>
      </c>
      <c r="J116" s="203"/>
    </row>
    <row r="117" spans="1:10" ht="21" customHeight="1" x14ac:dyDescent="0.2">
      <c r="A117" s="21"/>
      <c r="B117" s="204" t="s">
        <v>78</v>
      </c>
      <c r="C117" s="202">
        <f t="shared" si="25"/>
        <v>1588.6499999999999</v>
      </c>
      <c r="D117" s="202">
        <f t="shared" ref="D117:D122" si="29">C117-$C$115</f>
        <v>85.810833333333221</v>
      </c>
      <c r="E117" s="203"/>
      <c r="F117" s="21"/>
      <c r="G117" s="204" t="s">
        <v>93</v>
      </c>
      <c r="H117" s="202">
        <f t="shared" si="26"/>
        <v>2120.9883333333332</v>
      </c>
      <c r="I117" s="202">
        <f t="shared" ref="I117:I121" si="30">H117-$H$115</f>
        <v>276.36583333333306</v>
      </c>
      <c r="J117" s="203"/>
    </row>
    <row r="118" spans="1:10" ht="21" customHeight="1" x14ac:dyDescent="0.2">
      <c r="A118" s="21"/>
      <c r="B118" s="204" t="s">
        <v>79</v>
      </c>
      <c r="C118" s="202">
        <f t="shared" si="25"/>
        <v>1611.9441666666669</v>
      </c>
      <c r="D118" s="202">
        <f t="shared" si="29"/>
        <v>109.10500000000025</v>
      </c>
      <c r="E118" s="203">
        <f>C118-$C$117</f>
        <v>23.294166666667024</v>
      </c>
      <c r="F118" s="21"/>
      <c r="G118" s="204" t="s">
        <v>94</v>
      </c>
      <c r="H118" s="202">
        <f t="shared" si="26"/>
        <v>2211.5733333333333</v>
      </c>
      <c r="I118" s="202">
        <f t="shared" si="30"/>
        <v>366.95083333333309</v>
      </c>
      <c r="J118" s="203">
        <f>H118-$H$117</f>
        <v>90.585000000000036</v>
      </c>
    </row>
    <row r="119" spans="1:10" ht="21" customHeight="1" x14ac:dyDescent="0.2">
      <c r="A119" s="21"/>
      <c r="B119" s="204" t="s">
        <v>80</v>
      </c>
      <c r="C119" s="202">
        <f t="shared" si="25"/>
        <v>1639.1591666666666</v>
      </c>
      <c r="D119" s="202">
        <f t="shared" si="29"/>
        <v>136.31999999999994</v>
      </c>
      <c r="E119" s="203">
        <f t="shared" ref="E119:E122" si="31">C119-$C$117</f>
        <v>50.509166666666715</v>
      </c>
      <c r="F119" s="21"/>
      <c r="G119" s="204" t="s">
        <v>95</v>
      </c>
      <c r="H119" s="202">
        <f t="shared" si="26"/>
        <v>2310.3083333333334</v>
      </c>
      <c r="I119" s="202">
        <f t="shared" si="30"/>
        <v>465.68583333333322</v>
      </c>
      <c r="J119" s="203">
        <f t="shared" ref="J119:J121" si="32">H119-$H$117</f>
        <v>189.32000000000016</v>
      </c>
    </row>
    <row r="120" spans="1:10" ht="21" customHeight="1" x14ac:dyDescent="0.2">
      <c r="A120" s="21"/>
      <c r="B120" s="204" t="s">
        <v>81</v>
      </c>
      <c r="C120" s="202">
        <f t="shared" si="25"/>
        <v>1668.2583333333332</v>
      </c>
      <c r="D120" s="202">
        <f t="shared" si="29"/>
        <v>165.41916666666657</v>
      </c>
      <c r="E120" s="203">
        <f t="shared" si="31"/>
        <v>79.608333333333348</v>
      </c>
      <c r="F120" s="21"/>
      <c r="G120" s="204" t="s">
        <v>96</v>
      </c>
      <c r="H120" s="202">
        <f t="shared" si="26"/>
        <v>2469.9033333333332</v>
      </c>
      <c r="I120" s="202">
        <f t="shared" si="30"/>
        <v>625.28083333333302</v>
      </c>
      <c r="J120" s="203">
        <f t="shared" si="32"/>
        <v>348.91499999999996</v>
      </c>
    </row>
    <row r="121" spans="1:10" ht="21" customHeight="1" x14ac:dyDescent="0.2">
      <c r="A121" s="21"/>
      <c r="B121" s="204" t="s">
        <v>82</v>
      </c>
      <c r="C121" s="202">
        <f t="shared" si="25"/>
        <v>1732.3533333333335</v>
      </c>
      <c r="D121" s="202">
        <f t="shared" si="29"/>
        <v>229.51416666666682</v>
      </c>
      <c r="E121" s="203">
        <f t="shared" si="31"/>
        <v>143.7033333333336</v>
      </c>
      <c r="F121" s="21"/>
      <c r="G121" s="205" t="s">
        <v>97</v>
      </c>
      <c r="H121" s="207">
        <f t="shared" si="26"/>
        <v>2594.9033333333332</v>
      </c>
      <c r="I121" s="207">
        <f t="shared" si="30"/>
        <v>750.28083333333302</v>
      </c>
      <c r="J121" s="208">
        <f t="shared" si="32"/>
        <v>473.91499999999996</v>
      </c>
    </row>
    <row r="122" spans="1:10" ht="21" customHeight="1" x14ac:dyDescent="0.2">
      <c r="A122" s="21"/>
      <c r="B122" s="205" t="s">
        <v>83</v>
      </c>
      <c r="C122" s="207">
        <f t="shared" si="25"/>
        <v>1770.6866666666667</v>
      </c>
      <c r="D122" s="207">
        <f t="shared" si="29"/>
        <v>267.84750000000008</v>
      </c>
      <c r="E122" s="208">
        <f t="shared" si="31"/>
        <v>182.03666666666686</v>
      </c>
      <c r="F122" s="21"/>
      <c r="G122" s="21"/>
      <c r="H122" s="21"/>
      <c r="I122" s="21"/>
      <c r="J122" s="21"/>
    </row>
    <row r="123" spans="1:10" ht="21" customHeight="1" x14ac:dyDescent="0.2">
      <c r="A123" s="21"/>
      <c r="B123" s="21"/>
      <c r="C123" s="21"/>
      <c r="D123" s="21"/>
      <c r="E123" s="21"/>
      <c r="F123" s="21"/>
      <c r="G123" s="21"/>
      <c r="H123" s="21"/>
      <c r="I123" s="21"/>
      <c r="J123" s="21"/>
    </row>
    <row r="124" spans="1:10" ht="21" customHeight="1" x14ac:dyDescent="0.2">
      <c r="A124" s="234" t="s">
        <v>368</v>
      </c>
      <c r="B124" s="390" t="s">
        <v>376</v>
      </c>
      <c r="C124" s="391"/>
      <c r="D124" s="391"/>
      <c r="E124" s="391"/>
      <c r="F124" s="391"/>
      <c r="G124" s="391"/>
      <c r="H124" s="391"/>
      <c r="I124" s="391"/>
      <c r="J124" s="391"/>
    </row>
    <row r="125" spans="1:10" ht="21" customHeight="1" x14ac:dyDescent="0.2">
      <c r="A125" s="193"/>
      <c r="B125" s="235"/>
      <c r="C125" s="235"/>
      <c r="D125" s="235"/>
      <c r="E125" s="235"/>
      <c r="F125" s="235"/>
      <c r="G125" s="235"/>
      <c r="H125" s="235"/>
      <c r="I125" s="235"/>
      <c r="J125" s="235"/>
    </row>
    <row r="126" spans="1:10" ht="21" customHeight="1" x14ac:dyDescent="0.2">
      <c r="B126" s="378" t="s">
        <v>386</v>
      </c>
      <c r="C126" s="378"/>
      <c r="D126" s="378"/>
      <c r="E126" s="378"/>
      <c r="F126" s="378"/>
      <c r="G126" s="378"/>
      <c r="H126" s="378"/>
      <c r="I126" s="378"/>
      <c r="J126" s="378"/>
    </row>
    <row r="127" spans="1:10" ht="21" customHeight="1" x14ac:dyDescent="0.2"/>
    <row r="128" spans="1:10" ht="21" customHeight="1" x14ac:dyDescent="0.2">
      <c r="A128" s="21"/>
      <c r="B128" s="379" t="s">
        <v>47</v>
      </c>
      <c r="C128" s="392" t="s">
        <v>373</v>
      </c>
      <c r="D128" s="393"/>
      <c r="E128" s="394"/>
      <c r="F128" s="195"/>
      <c r="G128" s="379" t="s">
        <v>47</v>
      </c>
      <c r="H128" s="392" t="s">
        <v>373</v>
      </c>
      <c r="I128" s="393"/>
      <c r="J128" s="394"/>
    </row>
    <row r="129" spans="1:10" ht="21" customHeight="1" x14ac:dyDescent="0.2">
      <c r="A129" s="21"/>
      <c r="B129" s="380"/>
      <c r="C129" s="196">
        <v>43466</v>
      </c>
      <c r="D129" s="399" t="s">
        <v>374</v>
      </c>
      <c r="E129" s="400"/>
      <c r="F129" s="195"/>
      <c r="G129" s="380"/>
      <c r="H129" s="196">
        <v>43466</v>
      </c>
      <c r="I129" s="399" t="s">
        <v>374</v>
      </c>
      <c r="J129" s="400"/>
    </row>
    <row r="130" spans="1:10" ht="21" customHeight="1" x14ac:dyDescent="0.2">
      <c r="A130" s="21"/>
      <c r="B130" s="197" t="s">
        <v>69</v>
      </c>
      <c r="C130" s="89">
        <v>17164.170000000002</v>
      </c>
      <c r="D130" s="199"/>
      <c r="E130" s="200"/>
      <c r="F130" s="21"/>
      <c r="G130" s="197" t="s">
        <v>84</v>
      </c>
      <c r="H130" s="89">
        <v>20466.47</v>
      </c>
      <c r="I130" s="202"/>
      <c r="J130" s="203"/>
    </row>
    <row r="131" spans="1:10" ht="21" customHeight="1" x14ac:dyDescent="0.2">
      <c r="A131" s="21"/>
      <c r="B131" s="204" t="s">
        <v>70</v>
      </c>
      <c r="C131" s="89">
        <v>17394.710000000003</v>
      </c>
      <c r="D131" s="202">
        <f>C131-$C$130</f>
        <v>230.54000000000087</v>
      </c>
      <c r="E131" s="203"/>
      <c r="F131" s="21"/>
      <c r="G131" s="204" t="s">
        <v>85</v>
      </c>
      <c r="H131" s="89">
        <v>20955.260000000002</v>
      </c>
      <c r="I131" s="202">
        <f>H131-$H$130</f>
        <v>488.79000000000087</v>
      </c>
      <c r="J131" s="203"/>
    </row>
    <row r="132" spans="1:10" ht="21" customHeight="1" x14ac:dyDescent="0.2">
      <c r="A132" s="21"/>
      <c r="B132" s="204" t="s">
        <v>71</v>
      </c>
      <c r="C132" s="89">
        <v>17763.359999999997</v>
      </c>
      <c r="D132" s="202">
        <f t="shared" ref="D132:D135" si="33">C132-$C$130</f>
        <v>599.18999999999505</v>
      </c>
      <c r="E132" s="203"/>
      <c r="F132" s="21"/>
      <c r="G132" s="204" t="s">
        <v>86</v>
      </c>
      <c r="H132" s="89">
        <v>21539.419999999995</v>
      </c>
      <c r="I132" s="202">
        <f t="shared" ref="I132:I135" si="34">H132-$H$130</f>
        <v>1072.9499999999935</v>
      </c>
      <c r="J132" s="203"/>
    </row>
    <row r="133" spans="1:10" ht="21" customHeight="1" x14ac:dyDescent="0.2">
      <c r="A133" s="21"/>
      <c r="B133" s="204" t="s">
        <v>72</v>
      </c>
      <c r="C133" s="89">
        <v>18078.54</v>
      </c>
      <c r="D133" s="202">
        <f t="shared" si="33"/>
        <v>914.36999999999898</v>
      </c>
      <c r="E133" s="203"/>
      <c r="F133" s="21"/>
      <c r="G133" s="204" t="s">
        <v>87</v>
      </c>
      <c r="H133" s="89">
        <v>22219.31</v>
      </c>
      <c r="I133" s="202">
        <f t="shared" si="34"/>
        <v>1752.8400000000001</v>
      </c>
      <c r="J133" s="203"/>
    </row>
    <row r="134" spans="1:10" ht="21" customHeight="1" x14ac:dyDescent="0.2">
      <c r="A134" s="21"/>
      <c r="B134" s="204" t="s">
        <v>73</v>
      </c>
      <c r="C134" s="89">
        <v>18452.370000000003</v>
      </c>
      <c r="D134" s="202">
        <f t="shared" si="33"/>
        <v>1288.2000000000007</v>
      </c>
      <c r="E134" s="203"/>
      <c r="F134" s="21"/>
      <c r="G134" s="204" t="s">
        <v>88</v>
      </c>
      <c r="H134" s="89">
        <v>23041.199999999997</v>
      </c>
      <c r="I134" s="202">
        <f t="shared" si="34"/>
        <v>2574.7299999999959</v>
      </c>
      <c r="J134" s="203"/>
    </row>
    <row r="135" spans="1:10" ht="21" customHeight="1" x14ac:dyDescent="0.2">
      <c r="A135" s="21"/>
      <c r="B135" s="204" t="s">
        <v>74</v>
      </c>
      <c r="C135" s="236">
        <v>18774.77</v>
      </c>
      <c r="D135" s="207">
        <f t="shared" si="33"/>
        <v>1610.5999999999985</v>
      </c>
      <c r="E135" s="208"/>
      <c r="F135" s="21"/>
      <c r="G135" s="204" t="s">
        <v>89</v>
      </c>
      <c r="H135" s="237">
        <v>23684.799999999999</v>
      </c>
      <c r="I135" s="207">
        <f t="shared" si="34"/>
        <v>3218.3299999999981</v>
      </c>
      <c r="J135" s="208"/>
    </row>
    <row r="136" spans="1:10" ht="21" customHeight="1" x14ac:dyDescent="0.2">
      <c r="A136" s="21"/>
      <c r="B136" s="197" t="s">
        <v>76</v>
      </c>
      <c r="C136" s="89">
        <v>18143.27</v>
      </c>
      <c r="D136" s="210"/>
      <c r="E136" s="203"/>
      <c r="F136" s="21"/>
      <c r="G136" s="197" t="s">
        <v>91</v>
      </c>
      <c r="H136" s="89">
        <v>22268.67</v>
      </c>
      <c r="I136" s="210"/>
      <c r="J136" s="203"/>
    </row>
    <row r="137" spans="1:10" ht="21" customHeight="1" x14ac:dyDescent="0.2">
      <c r="A137" s="21"/>
      <c r="B137" s="204" t="s">
        <v>77</v>
      </c>
      <c r="C137" s="89">
        <v>18444.330000000002</v>
      </c>
      <c r="D137" s="202">
        <f>C137-$C$136</f>
        <v>301.06000000000131</v>
      </c>
      <c r="E137" s="203"/>
      <c r="F137" s="21"/>
      <c r="G137" s="204" t="s">
        <v>92</v>
      </c>
      <c r="H137" s="89">
        <v>23360.45</v>
      </c>
      <c r="I137" s="202">
        <f>H137-$H$136</f>
        <v>1091.7800000000025</v>
      </c>
      <c r="J137" s="203"/>
    </row>
    <row r="138" spans="1:10" ht="21" customHeight="1" x14ac:dyDescent="0.2">
      <c r="A138" s="21"/>
      <c r="B138" s="204" t="s">
        <v>78</v>
      </c>
      <c r="C138" s="89">
        <v>19179</v>
      </c>
      <c r="D138" s="202">
        <f t="shared" ref="D138:D143" si="35">C138-$C$136</f>
        <v>1035.7299999999996</v>
      </c>
      <c r="E138" s="203"/>
      <c r="F138" s="21"/>
      <c r="G138" s="204" t="s">
        <v>93</v>
      </c>
      <c r="H138" s="89">
        <v>25605.46</v>
      </c>
      <c r="I138" s="202">
        <f t="shared" ref="I138:I142" si="36">H138-$H$136</f>
        <v>3336.7900000000009</v>
      </c>
      <c r="J138" s="203"/>
    </row>
    <row r="139" spans="1:10" ht="21" customHeight="1" x14ac:dyDescent="0.2">
      <c r="A139" s="21"/>
      <c r="B139" s="204" t="s">
        <v>79</v>
      </c>
      <c r="C139" s="89">
        <v>19459.730000000003</v>
      </c>
      <c r="D139" s="202">
        <f t="shared" si="35"/>
        <v>1316.4600000000028</v>
      </c>
      <c r="E139" s="203">
        <f>C139-$C$138</f>
        <v>280.7300000000032</v>
      </c>
      <c r="F139" s="21"/>
      <c r="G139" s="204" t="s">
        <v>94</v>
      </c>
      <c r="H139" s="89">
        <v>26698.479999999996</v>
      </c>
      <c r="I139" s="202">
        <f t="shared" si="36"/>
        <v>4429.8099999999977</v>
      </c>
      <c r="J139" s="203">
        <f>H139-$H$138</f>
        <v>1093.0199999999968</v>
      </c>
    </row>
    <row r="140" spans="1:10" ht="21" customHeight="1" x14ac:dyDescent="0.2">
      <c r="A140" s="21"/>
      <c r="B140" s="204" t="s">
        <v>80</v>
      </c>
      <c r="C140" s="89">
        <v>19788.71</v>
      </c>
      <c r="D140" s="202">
        <f t="shared" si="35"/>
        <v>1645.4399999999987</v>
      </c>
      <c r="E140" s="203">
        <f t="shared" ref="E140:E143" si="37">C140-$C$138</f>
        <v>609.70999999999913</v>
      </c>
      <c r="F140" s="21"/>
      <c r="G140" s="204" t="s">
        <v>95</v>
      </c>
      <c r="H140" s="89">
        <v>27890.5</v>
      </c>
      <c r="I140" s="202">
        <f t="shared" si="36"/>
        <v>5621.8300000000017</v>
      </c>
      <c r="J140" s="203">
        <f t="shared" ref="J140:J142" si="38">H140-$H$138</f>
        <v>2285.0400000000009</v>
      </c>
    </row>
    <row r="141" spans="1:10" ht="21" customHeight="1" x14ac:dyDescent="0.2">
      <c r="A141" s="21"/>
      <c r="B141" s="204" t="s">
        <v>81</v>
      </c>
      <c r="C141" s="89">
        <v>20140.300000000003</v>
      </c>
      <c r="D141" s="202">
        <f t="shared" si="35"/>
        <v>1997.0300000000025</v>
      </c>
      <c r="E141" s="203">
        <f t="shared" si="37"/>
        <v>961.30000000000291</v>
      </c>
      <c r="F141" s="21"/>
      <c r="G141" s="204" t="s">
        <v>96</v>
      </c>
      <c r="H141" s="89">
        <v>29817.64</v>
      </c>
      <c r="I141" s="202">
        <f t="shared" si="36"/>
        <v>7548.9700000000012</v>
      </c>
      <c r="J141" s="203">
        <f t="shared" si="38"/>
        <v>4212.18</v>
      </c>
    </row>
    <row r="142" spans="1:10" ht="21" customHeight="1" x14ac:dyDescent="0.2">
      <c r="A142" s="21"/>
      <c r="B142" s="204" t="s">
        <v>82</v>
      </c>
      <c r="C142" s="89">
        <v>20914.240000000002</v>
      </c>
      <c r="D142" s="202">
        <f t="shared" si="35"/>
        <v>2770.9700000000012</v>
      </c>
      <c r="E142" s="203">
        <f t="shared" si="37"/>
        <v>1735.2400000000016</v>
      </c>
      <c r="F142" s="21"/>
      <c r="G142" s="205" t="s">
        <v>97</v>
      </c>
      <c r="H142" s="236">
        <v>31327.24</v>
      </c>
      <c r="I142" s="207">
        <f t="shared" si="36"/>
        <v>9058.5700000000033</v>
      </c>
      <c r="J142" s="208">
        <f t="shared" si="38"/>
        <v>5721.7800000000025</v>
      </c>
    </row>
    <row r="143" spans="1:10" ht="21" customHeight="1" x14ac:dyDescent="0.2">
      <c r="A143" s="21"/>
      <c r="B143" s="205" t="s">
        <v>83</v>
      </c>
      <c r="C143" s="236">
        <v>21376.640000000003</v>
      </c>
      <c r="D143" s="207">
        <f t="shared" si="35"/>
        <v>3233.3700000000026</v>
      </c>
      <c r="E143" s="208">
        <f t="shared" si="37"/>
        <v>2197.6400000000031</v>
      </c>
      <c r="F143" s="21"/>
      <c r="G143" s="21"/>
      <c r="H143" s="21"/>
      <c r="I143" s="21"/>
      <c r="J143" s="21"/>
    </row>
    <row r="144" spans="1:10" ht="21" customHeight="1" x14ac:dyDescent="0.2">
      <c r="A144" s="21"/>
      <c r="B144" s="21"/>
      <c r="C144" s="21"/>
      <c r="D144" s="21"/>
      <c r="E144" s="21"/>
      <c r="F144" s="21"/>
      <c r="G144" s="21"/>
      <c r="H144" s="21"/>
      <c r="I144" s="21"/>
      <c r="J144" s="21"/>
    </row>
    <row r="145" spans="1:13" ht="21" customHeight="1" x14ac:dyDescent="0.2">
      <c r="A145" s="234" t="s">
        <v>368</v>
      </c>
      <c r="B145" s="390" t="s">
        <v>376</v>
      </c>
      <c r="C145" s="391"/>
      <c r="D145" s="391"/>
      <c r="E145" s="391"/>
      <c r="F145" s="391"/>
      <c r="G145" s="391"/>
      <c r="H145" s="391"/>
      <c r="I145" s="391"/>
      <c r="J145" s="391"/>
    </row>
    <row r="146" spans="1:13" ht="21" customHeight="1" x14ac:dyDescent="0.2">
      <c r="A146" s="193"/>
      <c r="B146" s="235"/>
      <c r="C146" s="235"/>
      <c r="D146" s="235"/>
      <c r="E146" s="235"/>
      <c r="F146" s="235"/>
      <c r="G146" s="235"/>
      <c r="H146" s="235"/>
      <c r="I146" s="235"/>
      <c r="J146" s="235"/>
    </row>
    <row r="147" spans="1:13" ht="21" customHeight="1" x14ac:dyDescent="0.2">
      <c r="B147" s="378" t="s">
        <v>387</v>
      </c>
      <c r="C147" s="378"/>
      <c r="D147" s="378"/>
      <c r="E147" s="378"/>
      <c r="F147" s="378"/>
      <c r="G147" s="378"/>
      <c r="H147" s="378"/>
      <c r="I147" s="378"/>
      <c r="J147" s="378"/>
    </row>
    <row r="148" spans="1:13" ht="21" customHeight="1" x14ac:dyDescent="0.2">
      <c r="M148" s="238"/>
    </row>
    <row r="149" spans="1:13" ht="21" customHeight="1" x14ac:dyDescent="0.2">
      <c r="A149" s="21"/>
      <c r="B149" s="379" t="s">
        <v>47</v>
      </c>
      <c r="C149" s="392" t="s">
        <v>373</v>
      </c>
      <c r="D149" s="393"/>
      <c r="E149" s="394"/>
      <c r="F149" s="195"/>
      <c r="G149" s="379" t="s">
        <v>47</v>
      </c>
      <c r="H149" s="392" t="s">
        <v>373</v>
      </c>
      <c r="I149" s="393"/>
      <c r="J149" s="394"/>
    </row>
    <row r="150" spans="1:13" ht="21" customHeight="1" x14ac:dyDescent="0.2">
      <c r="A150" s="21"/>
      <c r="B150" s="380"/>
      <c r="C150" s="196">
        <v>43831</v>
      </c>
      <c r="D150" s="399" t="s">
        <v>374</v>
      </c>
      <c r="E150" s="400"/>
      <c r="F150" s="195"/>
      <c r="G150" s="380"/>
      <c r="H150" s="196">
        <v>43831</v>
      </c>
      <c r="I150" s="399" t="s">
        <v>374</v>
      </c>
      <c r="J150" s="400"/>
    </row>
    <row r="151" spans="1:13" ht="21" customHeight="1" x14ac:dyDescent="0.2">
      <c r="A151" s="21"/>
      <c r="B151" s="197" t="s">
        <v>69</v>
      </c>
      <c r="C151" s="89">
        <v>17304.57</v>
      </c>
      <c r="D151" s="199"/>
      <c r="E151" s="200"/>
      <c r="F151" s="21"/>
      <c r="G151" s="197" t="s">
        <v>84</v>
      </c>
      <c r="H151" s="89">
        <v>20634.47</v>
      </c>
      <c r="I151" s="202"/>
      <c r="J151" s="203"/>
    </row>
    <row r="152" spans="1:13" ht="21" customHeight="1" x14ac:dyDescent="0.2">
      <c r="A152" s="21"/>
      <c r="B152" s="204" t="s">
        <v>70</v>
      </c>
      <c r="C152" s="89">
        <v>17536.310000000001</v>
      </c>
      <c r="D152" s="202">
        <f>C152-$C$151</f>
        <v>231.7400000000016</v>
      </c>
      <c r="E152" s="203"/>
      <c r="F152" s="21"/>
      <c r="G152" s="204" t="s">
        <v>85</v>
      </c>
      <c r="H152" s="89">
        <v>21126.86</v>
      </c>
      <c r="I152" s="202">
        <f>H152-$H$151</f>
        <v>492.38999999999942</v>
      </c>
      <c r="J152" s="203"/>
    </row>
    <row r="153" spans="1:13" ht="21" customHeight="1" x14ac:dyDescent="0.2">
      <c r="A153" s="21"/>
      <c r="B153" s="204" t="s">
        <v>71</v>
      </c>
      <c r="C153" s="89">
        <v>17908.559999999998</v>
      </c>
      <c r="D153" s="202">
        <f t="shared" ref="D153:D156" si="39">C153-$C$151</f>
        <v>603.98999999999796</v>
      </c>
      <c r="E153" s="203"/>
      <c r="F153" s="21"/>
      <c r="G153" s="204" t="s">
        <v>86</v>
      </c>
      <c r="H153" s="89">
        <v>21714.619999999995</v>
      </c>
      <c r="I153" s="202">
        <f t="shared" ref="I153:I156" si="40">H153-$H$151</f>
        <v>1080.1499999999942</v>
      </c>
      <c r="J153" s="203"/>
    </row>
    <row r="154" spans="1:13" ht="21" customHeight="1" x14ac:dyDescent="0.2">
      <c r="A154" s="21"/>
      <c r="B154" s="204" t="s">
        <v>72</v>
      </c>
      <c r="C154" s="89">
        <v>18227.34</v>
      </c>
      <c r="D154" s="202">
        <f t="shared" si="39"/>
        <v>922.77000000000044</v>
      </c>
      <c r="E154" s="203"/>
      <c r="F154" s="21"/>
      <c r="G154" s="204" t="s">
        <v>87</v>
      </c>
      <c r="H154" s="89">
        <v>22400.510000000002</v>
      </c>
      <c r="I154" s="202">
        <f t="shared" si="40"/>
        <v>1766.0400000000009</v>
      </c>
      <c r="J154" s="203"/>
    </row>
    <row r="155" spans="1:13" ht="21" customHeight="1" x14ac:dyDescent="0.2">
      <c r="A155" s="21"/>
      <c r="B155" s="204" t="s">
        <v>73</v>
      </c>
      <c r="C155" s="89">
        <v>18603.57</v>
      </c>
      <c r="D155" s="202">
        <f t="shared" si="39"/>
        <v>1299</v>
      </c>
      <c r="E155" s="203"/>
      <c r="F155" s="21"/>
      <c r="G155" s="204" t="s">
        <v>88</v>
      </c>
      <c r="H155" s="89">
        <v>23229.599999999999</v>
      </c>
      <c r="I155" s="202">
        <f t="shared" si="40"/>
        <v>2595.1299999999974</v>
      </c>
      <c r="J155" s="203"/>
    </row>
    <row r="156" spans="1:13" ht="21" customHeight="1" x14ac:dyDescent="0.2">
      <c r="A156" s="21"/>
      <c r="B156" s="204" t="s">
        <v>74</v>
      </c>
      <c r="C156" s="237">
        <v>18928.370000000003</v>
      </c>
      <c r="D156" s="207">
        <f t="shared" si="39"/>
        <v>1623.8000000000029</v>
      </c>
      <c r="E156" s="208"/>
      <c r="F156" s="21"/>
      <c r="G156" s="204" t="s">
        <v>89</v>
      </c>
      <c r="H156" s="237">
        <v>23879.200000000001</v>
      </c>
      <c r="I156" s="207">
        <f t="shared" si="40"/>
        <v>3244.7299999999996</v>
      </c>
      <c r="J156" s="208"/>
    </row>
    <row r="157" spans="1:13" ht="21" customHeight="1" x14ac:dyDescent="0.2">
      <c r="A157" s="21"/>
      <c r="B157" s="197" t="s">
        <v>76</v>
      </c>
      <c r="C157" s="89">
        <v>18290.87</v>
      </c>
      <c r="D157" s="210"/>
      <c r="E157" s="203"/>
      <c r="F157" s="21"/>
      <c r="G157" s="197" t="s">
        <v>91</v>
      </c>
      <c r="H157" s="89">
        <v>22451.069999999996</v>
      </c>
      <c r="I157" s="210"/>
      <c r="J157" s="203"/>
    </row>
    <row r="158" spans="1:13" ht="21" customHeight="1" x14ac:dyDescent="0.2">
      <c r="A158" s="21"/>
      <c r="B158" s="204" t="s">
        <v>77</v>
      </c>
      <c r="C158" s="89">
        <v>18595.53</v>
      </c>
      <c r="D158" s="202">
        <f>C158-$C$157</f>
        <v>304.65999999999985</v>
      </c>
      <c r="E158" s="203"/>
      <c r="F158" s="21"/>
      <c r="G158" s="204" t="s">
        <v>92</v>
      </c>
      <c r="H158" s="89">
        <v>23551.25</v>
      </c>
      <c r="I158" s="202">
        <f>H158-$H$157</f>
        <v>1100.1800000000039</v>
      </c>
      <c r="J158" s="203"/>
    </row>
    <row r="159" spans="1:13" ht="21" customHeight="1" x14ac:dyDescent="0.2">
      <c r="A159" s="21"/>
      <c r="B159" s="204" t="s">
        <v>78</v>
      </c>
      <c r="C159" s="89">
        <v>19336.2</v>
      </c>
      <c r="D159" s="202">
        <f t="shared" ref="D159:D164" si="41">C159-$C$157</f>
        <v>1045.3300000000017</v>
      </c>
      <c r="E159" s="203"/>
      <c r="F159" s="21"/>
      <c r="G159" s="204" t="s">
        <v>93</v>
      </c>
      <c r="H159" s="89">
        <v>25814.260000000002</v>
      </c>
      <c r="I159" s="202">
        <f t="shared" ref="I159:I163" si="42">H159-$H$157</f>
        <v>3363.190000000006</v>
      </c>
      <c r="J159" s="203"/>
    </row>
    <row r="160" spans="1:13" ht="21" customHeight="1" x14ac:dyDescent="0.2">
      <c r="A160" s="21"/>
      <c r="B160" s="204" t="s">
        <v>79</v>
      </c>
      <c r="C160" s="89">
        <v>19619.330000000002</v>
      </c>
      <c r="D160" s="202">
        <f t="shared" si="41"/>
        <v>1328.4600000000028</v>
      </c>
      <c r="E160" s="203">
        <f>C160-$C$159</f>
        <v>283.13000000000102</v>
      </c>
      <c r="F160" s="21"/>
      <c r="G160" s="204" t="s">
        <v>94</v>
      </c>
      <c r="H160" s="89">
        <v>26916.879999999997</v>
      </c>
      <c r="I160" s="202">
        <f t="shared" si="42"/>
        <v>4465.8100000000013</v>
      </c>
      <c r="J160" s="203">
        <f>H160-$H$159</f>
        <v>1102.6199999999953</v>
      </c>
    </row>
    <row r="161" spans="1:13" ht="21" customHeight="1" x14ac:dyDescent="0.2">
      <c r="A161" s="21"/>
      <c r="B161" s="204" t="s">
        <v>80</v>
      </c>
      <c r="C161" s="89">
        <v>19950.71</v>
      </c>
      <c r="D161" s="202">
        <f t="shared" si="41"/>
        <v>1659.8400000000001</v>
      </c>
      <c r="E161" s="203">
        <f t="shared" ref="E161:E164" si="43">C161-$C$159</f>
        <v>614.5099999999984</v>
      </c>
      <c r="F161" s="21"/>
      <c r="G161" s="204" t="s">
        <v>95</v>
      </c>
      <c r="H161" s="89">
        <v>28118.5</v>
      </c>
      <c r="I161" s="202">
        <f t="shared" si="42"/>
        <v>5667.4300000000039</v>
      </c>
      <c r="J161" s="203">
        <f t="shared" ref="J161:J163" si="44">H161-$H$159</f>
        <v>2304.239999999998</v>
      </c>
    </row>
    <row r="162" spans="1:13" ht="21" customHeight="1" x14ac:dyDescent="0.2">
      <c r="A162" s="21"/>
      <c r="B162" s="204" t="s">
        <v>81</v>
      </c>
      <c r="C162" s="89">
        <v>20304.7</v>
      </c>
      <c r="D162" s="202">
        <f t="shared" si="41"/>
        <v>2013.8300000000017</v>
      </c>
      <c r="E162" s="203">
        <f t="shared" si="43"/>
        <v>968.5</v>
      </c>
      <c r="F162" s="21"/>
      <c r="G162" s="204" t="s">
        <v>96</v>
      </c>
      <c r="H162" s="89">
        <v>30061.24</v>
      </c>
      <c r="I162" s="202">
        <f t="shared" si="42"/>
        <v>7610.1700000000055</v>
      </c>
      <c r="J162" s="203">
        <f t="shared" si="44"/>
        <v>4246.9799999999996</v>
      </c>
    </row>
    <row r="163" spans="1:13" ht="21" customHeight="1" x14ac:dyDescent="0.2">
      <c r="A163" s="21"/>
      <c r="B163" s="204" t="s">
        <v>82</v>
      </c>
      <c r="C163" s="89">
        <v>21084.640000000003</v>
      </c>
      <c r="D163" s="202">
        <f t="shared" si="41"/>
        <v>2793.7700000000041</v>
      </c>
      <c r="E163" s="203">
        <f t="shared" si="43"/>
        <v>1748.4400000000023</v>
      </c>
      <c r="F163" s="21"/>
      <c r="G163" s="205" t="s">
        <v>97</v>
      </c>
      <c r="H163" s="237">
        <v>31582.84</v>
      </c>
      <c r="I163" s="207">
        <f t="shared" si="42"/>
        <v>9131.7700000000041</v>
      </c>
      <c r="J163" s="208">
        <f t="shared" si="44"/>
        <v>5768.5799999999981</v>
      </c>
      <c r="M163" s="89"/>
    </row>
    <row r="164" spans="1:13" ht="21" customHeight="1" x14ac:dyDescent="0.2">
      <c r="A164" s="21"/>
      <c r="B164" s="205" t="s">
        <v>83</v>
      </c>
      <c r="C164" s="237">
        <v>21550.640000000003</v>
      </c>
      <c r="D164" s="207">
        <f t="shared" si="41"/>
        <v>3259.7700000000041</v>
      </c>
      <c r="E164" s="208">
        <f t="shared" si="43"/>
        <v>2214.4400000000023</v>
      </c>
      <c r="F164" s="21"/>
      <c r="G164" s="21"/>
      <c r="H164" s="21"/>
      <c r="I164" s="21"/>
      <c r="J164" s="21"/>
      <c r="M164" s="89"/>
    </row>
    <row r="165" spans="1:13" ht="21" customHeight="1" x14ac:dyDescent="0.2">
      <c r="A165" s="21"/>
      <c r="B165" s="21"/>
      <c r="C165" s="21"/>
      <c r="D165" s="21"/>
      <c r="E165" s="21"/>
      <c r="F165" s="21"/>
      <c r="G165" s="21"/>
      <c r="H165" s="21"/>
      <c r="I165" s="21"/>
      <c r="J165" s="21"/>
      <c r="M165" s="89"/>
    </row>
    <row r="166" spans="1:13" ht="21" customHeight="1" x14ac:dyDescent="0.2">
      <c r="A166" s="234" t="s">
        <v>368</v>
      </c>
      <c r="B166" s="390" t="s">
        <v>376</v>
      </c>
      <c r="C166" s="391"/>
      <c r="D166" s="391"/>
      <c r="E166" s="391"/>
      <c r="F166" s="391"/>
      <c r="G166" s="391"/>
      <c r="H166" s="391"/>
      <c r="I166" s="391"/>
      <c r="J166" s="391"/>
    </row>
    <row r="167" spans="1:13" ht="21" customHeight="1" x14ac:dyDescent="0.2">
      <c r="A167" s="193"/>
      <c r="B167" s="235"/>
      <c r="C167" s="235"/>
      <c r="D167" s="235"/>
      <c r="E167" s="235"/>
      <c r="F167" s="235"/>
      <c r="G167" s="235"/>
      <c r="H167" s="235"/>
      <c r="I167" s="235"/>
      <c r="J167" s="235"/>
      <c r="M167" s="89"/>
    </row>
    <row r="168" spans="1:13" ht="21" customHeight="1" x14ac:dyDescent="0.2">
      <c r="B168" s="378" t="s">
        <v>388</v>
      </c>
      <c r="C168" s="378"/>
      <c r="D168" s="378"/>
      <c r="E168" s="378"/>
      <c r="F168" s="378"/>
      <c r="G168" s="378"/>
      <c r="H168" s="378"/>
      <c r="I168" s="378"/>
      <c r="J168" s="378"/>
    </row>
    <row r="169" spans="1:13" ht="21" customHeight="1" x14ac:dyDescent="0.2">
      <c r="M169" s="238"/>
    </row>
    <row r="170" spans="1:13" ht="21" customHeight="1" x14ac:dyDescent="0.2">
      <c r="A170" s="21"/>
      <c r="B170" s="379" t="s">
        <v>47</v>
      </c>
      <c r="C170" s="392" t="s">
        <v>373</v>
      </c>
      <c r="D170" s="393"/>
      <c r="E170" s="394"/>
      <c r="F170" s="195"/>
      <c r="G170" s="379" t="s">
        <v>47</v>
      </c>
      <c r="H170" s="392" t="s">
        <v>373</v>
      </c>
      <c r="I170" s="393"/>
      <c r="J170" s="394"/>
    </row>
    <row r="171" spans="1:13" ht="21" customHeight="1" x14ac:dyDescent="0.2">
      <c r="A171" s="21"/>
      <c r="B171" s="380"/>
      <c r="C171" s="196">
        <v>44197</v>
      </c>
      <c r="D171" s="399" t="s">
        <v>374</v>
      </c>
      <c r="E171" s="400"/>
      <c r="F171" s="195"/>
      <c r="G171" s="380"/>
      <c r="H171" s="196">
        <v>44197</v>
      </c>
      <c r="I171" s="399" t="s">
        <v>374</v>
      </c>
      <c r="J171" s="400"/>
    </row>
    <row r="172" spans="1:13" ht="21" customHeight="1" x14ac:dyDescent="0.2">
      <c r="A172" s="21"/>
      <c r="B172" s="197" t="s">
        <v>69</v>
      </c>
      <c r="C172" s="89">
        <v>17734.170000000002</v>
      </c>
      <c r="D172" s="89"/>
      <c r="E172" s="239"/>
      <c r="F172" s="21"/>
      <c r="G172" s="197" t="s">
        <v>84</v>
      </c>
      <c r="H172" s="89">
        <v>21146.87</v>
      </c>
      <c r="I172" s="89"/>
      <c r="J172" s="203"/>
    </row>
    <row r="173" spans="1:13" ht="21" customHeight="1" x14ac:dyDescent="0.2">
      <c r="A173" s="21"/>
      <c r="B173" s="204" t="s">
        <v>70</v>
      </c>
      <c r="C173" s="89">
        <v>17973.11</v>
      </c>
      <c r="D173" s="89">
        <f>C173-$C$172</f>
        <v>238.93999999999869</v>
      </c>
      <c r="E173" s="239"/>
      <c r="F173" s="21"/>
      <c r="G173" s="204" t="s">
        <v>85</v>
      </c>
      <c r="H173" s="89">
        <v>21651.260000000002</v>
      </c>
      <c r="I173" s="89">
        <f>H173-$H$172</f>
        <v>504.39000000000306</v>
      </c>
      <c r="J173" s="203"/>
    </row>
    <row r="174" spans="1:13" ht="21" customHeight="1" x14ac:dyDescent="0.2">
      <c r="A174" s="21"/>
      <c r="B174" s="204" t="s">
        <v>71</v>
      </c>
      <c r="C174" s="89">
        <v>18353.759999999998</v>
      </c>
      <c r="D174" s="89">
        <f t="shared" ref="D174:D177" si="45">C174-$C$172</f>
        <v>619.58999999999651</v>
      </c>
      <c r="E174" s="239"/>
      <c r="F174" s="21"/>
      <c r="G174" s="204" t="s">
        <v>86</v>
      </c>
      <c r="H174" s="89">
        <v>22255.819999999996</v>
      </c>
      <c r="I174" s="89">
        <f t="shared" ref="I174:I177" si="46">H174-$H$172</f>
        <v>1108.9499999999971</v>
      </c>
      <c r="J174" s="203"/>
    </row>
    <row r="175" spans="1:13" ht="21" customHeight="1" x14ac:dyDescent="0.2">
      <c r="A175" s="21"/>
      <c r="B175" s="204" t="s">
        <v>72</v>
      </c>
      <c r="C175" s="89">
        <v>18679.740000000002</v>
      </c>
      <c r="D175" s="89">
        <f t="shared" si="45"/>
        <v>945.56999999999971</v>
      </c>
      <c r="E175" s="239"/>
      <c r="F175" s="21"/>
      <c r="G175" s="204" t="s">
        <v>87</v>
      </c>
      <c r="H175" s="89">
        <v>22958.510000000002</v>
      </c>
      <c r="I175" s="89">
        <f t="shared" si="46"/>
        <v>1811.6400000000031</v>
      </c>
      <c r="J175" s="203"/>
    </row>
    <row r="176" spans="1:13" ht="21" customHeight="1" x14ac:dyDescent="0.2">
      <c r="A176" s="21"/>
      <c r="B176" s="204" t="s">
        <v>73</v>
      </c>
      <c r="C176" s="89">
        <v>19066.77</v>
      </c>
      <c r="D176" s="89">
        <f t="shared" si="45"/>
        <v>1332.5999999999985</v>
      </c>
      <c r="E176" s="239"/>
      <c r="F176" s="21"/>
      <c r="G176" s="204" t="s">
        <v>88</v>
      </c>
      <c r="H176" s="89">
        <v>23807.999999999996</v>
      </c>
      <c r="I176" s="89">
        <f t="shared" si="46"/>
        <v>2661.1299999999974</v>
      </c>
      <c r="J176" s="203"/>
    </row>
    <row r="177" spans="1:13" ht="21" customHeight="1" x14ac:dyDescent="0.2">
      <c r="A177" s="21"/>
      <c r="B177" s="204" t="s">
        <v>74</v>
      </c>
      <c r="C177" s="237">
        <v>19676.93</v>
      </c>
      <c r="D177" s="237">
        <f t="shared" si="45"/>
        <v>1942.7599999999984</v>
      </c>
      <c r="E177" s="240"/>
      <c r="F177" s="21"/>
      <c r="G177" s="204" t="s">
        <v>89</v>
      </c>
      <c r="H177" s="237">
        <v>24655</v>
      </c>
      <c r="I177" s="237">
        <f t="shared" si="46"/>
        <v>3508.130000000001</v>
      </c>
      <c r="J177" s="208"/>
    </row>
    <row r="178" spans="1:13" ht="21" customHeight="1" x14ac:dyDescent="0.2">
      <c r="A178" s="21"/>
      <c r="B178" s="197" t="s">
        <v>76</v>
      </c>
      <c r="C178" s="89">
        <v>18745.669999999998</v>
      </c>
      <c r="D178" s="89"/>
      <c r="E178" s="239"/>
      <c r="F178" s="21"/>
      <c r="G178" s="197" t="s">
        <v>91</v>
      </c>
      <c r="H178" s="89">
        <v>23009.069999999996</v>
      </c>
      <c r="I178" s="89"/>
      <c r="J178" s="203"/>
    </row>
    <row r="179" spans="1:13" ht="21" customHeight="1" x14ac:dyDescent="0.2">
      <c r="A179" s="21"/>
      <c r="B179" s="204" t="s">
        <v>77</v>
      </c>
      <c r="C179" s="89">
        <v>19057.53</v>
      </c>
      <c r="D179" s="89">
        <f>C179-$C$178</f>
        <v>311.86000000000058</v>
      </c>
      <c r="E179" s="239"/>
      <c r="F179" s="21"/>
      <c r="G179" s="204" t="s">
        <v>92</v>
      </c>
      <c r="H179" s="89">
        <v>24136.85</v>
      </c>
      <c r="I179" s="89">
        <f>H179-$H$178</f>
        <v>1127.7800000000025</v>
      </c>
      <c r="J179" s="203"/>
    </row>
    <row r="180" spans="1:13" ht="21" customHeight="1" x14ac:dyDescent="0.2">
      <c r="A180" s="21"/>
      <c r="B180" s="204" t="s">
        <v>78</v>
      </c>
      <c r="C180" s="89">
        <v>19816.2</v>
      </c>
      <c r="D180" s="89">
        <f t="shared" ref="D180:D185" si="47">C180-$C$178</f>
        <v>1070.5300000000025</v>
      </c>
      <c r="E180" s="239"/>
      <c r="F180" s="21"/>
      <c r="G180" s="204" t="s">
        <v>93</v>
      </c>
      <c r="H180" s="89">
        <v>26457.46</v>
      </c>
      <c r="I180" s="89">
        <f t="shared" ref="I180:I184" si="48">H180-$H$178</f>
        <v>3448.3900000000031</v>
      </c>
      <c r="J180" s="203"/>
    </row>
    <row r="181" spans="1:13" ht="21" customHeight="1" x14ac:dyDescent="0.2">
      <c r="A181" s="21"/>
      <c r="B181" s="204" t="s">
        <v>79</v>
      </c>
      <c r="C181" s="89">
        <v>20107.730000000003</v>
      </c>
      <c r="D181" s="89">
        <f t="shared" si="47"/>
        <v>1362.0600000000049</v>
      </c>
      <c r="E181" s="239">
        <f>C181-$C$180</f>
        <v>291.53000000000247</v>
      </c>
      <c r="F181" s="21"/>
      <c r="G181" s="204" t="s">
        <v>94</v>
      </c>
      <c r="H181" s="89">
        <v>27586.479999999996</v>
      </c>
      <c r="I181" s="89">
        <f t="shared" si="48"/>
        <v>4577.41</v>
      </c>
      <c r="J181" s="203"/>
    </row>
    <row r="182" spans="1:13" ht="21" customHeight="1" x14ac:dyDescent="0.2">
      <c r="A182" s="21"/>
      <c r="B182" s="204" t="s">
        <v>80</v>
      </c>
      <c r="C182" s="89">
        <v>20446.310000000001</v>
      </c>
      <c r="D182" s="89">
        <f t="shared" si="47"/>
        <v>1700.6400000000031</v>
      </c>
      <c r="E182" s="239">
        <f t="shared" ref="E182:E185" si="49">C182-$C$180</f>
        <v>630.11000000000058</v>
      </c>
      <c r="F182" s="21"/>
      <c r="G182" s="204" t="s">
        <v>95</v>
      </c>
      <c r="H182" s="89">
        <v>28818.100000000002</v>
      </c>
      <c r="I182" s="89">
        <f t="shared" si="48"/>
        <v>5809.0300000000061</v>
      </c>
      <c r="J182" s="203"/>
    </row>
    <row r="183" spans="1:13" ht="21" customHeight="1" x14ac:dyDescent="0.2">
      <c r="A183" s="21"/>
      <c r="B183" s="204" t="s">
        <v>81</v>
      </c>
      <c r="C183" s="89">
        <v>20809.900000000001</v>
      </c>
      <c r="D183" s="89">
        <f t="shared" si="47"/>
        <v>2064.2300000000032</v>
      </c>
      <c r="E183" s="239">
        <f t="shared" si="49"/>
        <v>993.70000000000073</v>
      </c>
      <c r="F183" s="21"/>
      <c r="G183" s="204" t="s">
        <v>96</v>
      </c>
      <c r="H183" s="89">
        <v>30808.84</v>
      </c>
      <c r="I183" s="89">
        <f t="shared" si="48"/>
        <v>7799.7700000000041</v>
      </c>
      <c r="J183" s="203"/>
    </row>
    <row r="184" spans="1:13" ht="21" customHeight="1" x14ac:dyDescent="0.2">
      <c r="A184" s="21"/>
      <c r="B184" s="204" t="s">
        <v>82</v>
      </c>
      <c r="C184" s="89">
        <v>21609.040000000001</v>
      </c>
      <c r="D184" s="89">
        <f t="shared" si="47"/>
        <v>2863.3700000000026</v>
      </c>
      <c r="E184" s="239">
        <f t="shared" si="49"/>
        <v>1792.8400000000001</v>
      </c>
      <c r="F184" s="21"/>
      <c r="G184" s="205" t="s">
        <v>97</v>
      </c>
      <c r="H184" s="237">
        <v>32390.2</v>
      </c>
      <c r="I184" s="237">
        <f t="shared" si="48"/>
        <v>9381.1300000000047</v>
      </c>
      <c r="J184" s="208"/>
      <c r="M184" s="89"/>
    </row>
    <row r="185" spans="1:13" ht="21" customHeight="1" x14ac:dyDescent="0.2">
      <c r="A185" s="21"/>
      <c r="B185" s="205" t="s">
        <v>83</v>
      </c>
      <c r="C185" s="236">
        <v>22322.36</v>
      </c>
      <c r="D185" s="236">
        <f t="shared" si="47"/>
        <v>3576.6900000000023</v>
      </c>
      <c r="E185" s="240">
        <f t="shared" si="49"/>
        <v>2506.16</v>
      </c>
      <c r="F185" s="21"/>
      <c r="G185" s="21"/>
      <c r="H185" s="21"/>
      <c r="I185" s="21"/>
      <c r="J185" s="21"/>
      <c r="M185" s="89"/>
    </row>
    <row r="186" spans="1:13" ht="21" customHeight="1" x14ac:dyDescent="0.2">
      <c r="A186" s="21"/>
      <c r="B186" s="21"/>
      <c r="C186" s="21"/>
      <c r="D186" s="21"/>
      <c r="E186" s="21"/>
      <c r="F186" s="21"/>
      <c r="G186" s="21"/>
      <c r="H186" s="21"/>
      <c r="I186" s="21"/>
      <c r="J186" s="21"/>
      <c r="M186" s="89"/>
    </row>
    <row r="187" spans="1:13" ht="21" customHeight="1" x14ac:dyDescent="0.2">
      <c r="A187" s="374" t="s">
        <v>368</v>
      </c>
      <c r="B187" s="390" t="s">
        <v>389</v>
      </c>
      <c r="C187" s="391"/>
      <c r="D187" s="391"/>
      <c r="E187" s="391"/>
      <c r="F187" s="391"/>
      <c r="G187" s="391"/>
      <c r="H187" s="391"/>
      <c r="I187" s="391"/>
      <c r="J187" s="391"/>
      <c r="M187" s="89"/>
    </row>
    <row r="188" spans="1:13" ht="21" customHeight="1" x14ac:dyDescent="0.2">
      <c r="A188" s="374"/>
      <c r="B188" s="390" t="s">
        <v>376</v>
      </c>
      <c r="C188" s="391"/>
      <c r="D188" s="391"/>
      <c r="E188" s="391"/>
      <c r="F188" s="391"/>
      <c r="G188" s="391"/>
      <c r="H188" s="391"/>
      <c r="I188" s="391"/>
      <c r="J188" s="391"/>
      <c r="M188" s="89"/>
    </row>
    <row r="189" spans="1:13" ht="21" customHeight="1" x14ac:dyDescent="0.2">
      <c r="A189" s="193"/>
      <c r="B189" s="235"/>
      <c r="C189" s="235"/>
      <c r="D189" s="235"/>
      <c r="E189" s="235"/>
      <c r="F189" s="235"/>
      <c r="G189" s="235"/>
      <c r="H189" s="235"/>
      <c r="I189" s="235"/>
      <c r="J189" s="235"/>
      <c r="M189" s="89"/>
    </row>
    <row r="190" spans="1:13" ht="21" customHeight="1" x14ac:dyDescent="0.2">
      <c r="A190" s="214"/>
      <c r="B190" s="378" t="s">
        <v>390</v>
      </c>
      <c r="C190" s="378"/>
      <c r="D190" s="378"/>
      <c r="E190" s="378"/>
      <c r="F190" s="378"/>
      <c r="G190" s="378"/>
      <c r="H190" s="378"/>
      <c r="I190" s="378"/>
      <c r="J190" s="378"/>
    </row>
    <row r="191" spans="1:13" ht="21" customHeight="1" x14ac:dyDescent="0.2"/>
    <row r="192" spans="1:13" ht="21" customHeight="1" x14ac:dyDescent="0.2">
      <c r="A192" s="21"/>
      <c r="B192" s="395" t="s">
        <v>47</v>
      </c>
      <c r="C192" s="388" t="s">
        <v>384</v>
      </c>
      <c r="D192" s="389"/>
      <c r="E192" s="397"/>
      <c r="F192" s="398"/>
      <c r="G192" s="395" t="s">
        <v>47</v>
      </c>
      <c r="H192" s="388" t="s">
        <v>384</v>
      </c>
      <c r="I192" s="389"/>
      <c r="J192" s="21"/>
    </row>
    <row r="193" spans="1:10" ht="21" customHeight="1" x14ac:dyDescent="0.2">
      <c r="A193" s="21"/>
      <c r="B193" s="396"/>
      <c r="C193" s="217">
        <v>44652</v>
      </c>
      <c r="D193" s="216">
        <v>44743</v>
      </c>
      <c r="E193" s="241"/>
      <c r="F193" s="242"/>
      <c r="G193" s="396"/>
      <c r="H193" s="217">
        <v>44652</v>
      </c>
      <c r="I193" s="216">
        <v>44743</v>
      </c>
      <c r="J193" s="21"/>
    </row>
    <row r="194" spans="1:10" ht="21" customHeight="1" x14ac:dyDescent="0.2">
      <c r="A194" s="21"/>
      <c r="B194" s="219" t="s">
        <v>69</v>
      </c>
      <c r="C194" s="220">
        <f>C172*0.003</f>
        <v>53.202510000000004</v>
      </c>
      <c r="D194" s="200">
        <f>C172*0.005</f>
        <v>88.670850000000016</v>
      </c>
      <c r="E194" s="243"/>
      <c r="F194" s="239"/>
      <c r="G194" s="219" t="s">
        <v>84</v>
      </c>
      <c r="H194" s="220">
        <f>H172*0.003</f>
        <v>63.44061</v>
      </c>
      <c r="I194" s="200">
        <f>H172*0.005</f>
        <v>105.73434999999999</v>
      </c>
      <c r="J194" s="21"/>
    </row>
    <row r="195" spans="1:10" ht="21" customHeight="1" x14ac:dyDescent="0.2">
      <c r="A195" s="21"/>
      <c r="B195" s="223" t="s">
        <v>70</v>
      </c>
      <c r="C195" s="224">
        <f t="shared" ref="C195:C207" si="50">C173*0.003</f>
        <v>53.919330000000002</v>
      </c>
      <c r="D195" s="203">
        <f t="shared" ref="D195:D207" si="51">C173*0.005</f>
        <v>89.865549999999999</v>
      </c>
      <c r="E195" s="243"/>
      <c r="F195" s="239"/>
      <c r="G195" s="223" t="s">
        <v>85</v>
      </c>
      <c r="H195" s="224">
        <f t="shared" ref="H195:H206" si="52">H173*0.003</f>
        <v>64.953780000000009</v>
      </c>
      <c r="I195" s="203">
        <f t="shared" ref="I195:I206" si="53">H173*0.005</f>
        <v>108.25630000000001</v>
      </c>
      <c r="J195" s="21"/>
    </row>
    <row r="196" spans="1:10" ht="21" customHeight="1" x14ac:dyDescent="0.2">
      <c r="A196" s="21"/>
      <c r="B196" s="223" t="s">
        <v>71</v>
      </c>
      <c r="C196" s="224">
        <f t="shared" si="50"/>
        <v>55.061279999999996</v>
      </c>
      <c r="D196" s="203">
        <f t="shared" si="51"/>
        <v>91.768799999999999</v>
      </c>
      <c r="E196" s="243"/>
      <c r="F196" s="239"/>
      <c r="G196" s="223" t="s">
        <v>86</v>
      </c>
      <c r="H196" s="224">
        <f t="shared" si="52"/>
        <v>66.767459999999986</v>
      </c>
      <c r="I196" s="203">
        <f t="shared" si="53"/>
        <v>111.27909999999999</v>
      </c>
      <c r="J196" s="21"/>
    </row>
    <row r="197" spans="1:10" ht="21" customHeight="1" x14ac:dyDescent="0.2">
      <c r="A197" s="21"/>
      <c r="B197" s="223" t="s">
        <v>72</v>
      </c>
      <c r="C197" s="224">
        <f t="shared" si="50"/>
        <v>56.039220000000007</v>
      </c>
      <c r="D197" s="203">
        <f t="shared" si="51"/>
        <v>93.398700000000005</v>
      </c>
      <c r="E197" s="243"/>
      <c r="F197" s="239"/>
      <c r="G197" s="223" t="s">
        <v>87</v>
      </c>
      <c r="H197" s="224">
        <f t="shared" si="52"/>
        <v>68.875530000000012</v>
      </c>
      <c r="I197" s="203">
        <f t="shared" si="53"/>
        <v>114.79255000000001</v>
      </c>
      <c r="J197" s="21"/>
    </row>
    <row r="198" spans="1:10" ht="21" customHeight="1" x14ac:dyDescent="0.2">
      <c r="A198" s="21"/>
      <c r="B198" s="223" t="s">
        <v>73</v>
      </c>
      <c r="C198" s="224">
        <f t="shared" si="50"/>
        <v>57.200310000000002</v>
      </c>
      <c r="D198" s="203">
        <f t="shared" si="51"/>
        <v>95.333849999999998</v>
      </c>
      <c r="E198" s="243"/>
      <c r="F198" s="239"/>
      <c r="G198" s="223" t="s">
        <v>88</v>
      </c>
      <c r="H198" s="224">
        <f t="shared" si="52"/>
        <v>71.423999999999992</v>
      </c>
      <c r="I198" s="203">
        <f t="shared" si="53"/>
        <v>119.03999999999998</v>
      </c>
      <c r="J198" s="21"/>
    </row>
    <row r="199" spans="1:10" ht="21" customHeight="1" x14ac:dyDescent="0.2">
      <c r="A199" s="21"/>
      <c r="B199" s="233" t="s">
        <v>74</v>
      </c>
      <c r="C199" s="227">
        <f t="shared" si="50"/>
        <v>59.030790000000003</v>
      </c>
      <c r="D199" s="208">
        <f t="shared" si="51"/>
        <v>98.384650000000008</v>
      </c>
      <c r="E199" s="243"/>
      <c r="F199" s="239"/>
      <c r="G199" s="223" t="s">
        <v>89</v>
      </c>
      <c r="H199" s="227">
        <f t="shared" si="52"/>
        <v>73.965000000000003</v>
      </c>
      <c r="I199" s="208">
        <f t="shared" si="53"/>
        <v>123.27500000000001</v>
      </c>
      <c r="J199" s="21"/>
    </row>
    <row r="200" spans="1:10" ht="21" customHeight="1" x14ac:dyDescent="0.2">
      <c r="A200" s="21"/>
      <c r="B200" s="244" t="s">
        <v>76</v>
      </c>
      <c r="C200" s="230">
        <f t="shared" si="50"/>
        <v>56.237009999999998</v>
      </c>
      <c r="D200" s="211">
        <f t="shared" si="51"/>
        <v>93.728349999999992</v>
      </c>
      <c r="E200" s="243"/>
      <c r="F200" s="239"/>
      <c r="G200" s="219" t="s">
        <v>91</v>
      </c>
      <c r="H200" s="230">
        <f t="shared" si="52"/>
        <v>69.027209999999997</v>
      </c>
      <c r="I200" s="211">
        <f t="shared" si="53"/>
        <v>115.04534999999998</v>
      </c>
      <c r="J200" s="21"/>
    </row>
    <row r="201" spans="1:10" ht="21" customHeight="1" x14ac:dyDescent="0.2">
      <c r="A201" s="21"/>
      <c r="B201" s="223" t="s">
        <v>77</v>
      </c>
      <c r="C201" s="224">
        <f t="shared" si="50"/>
        <v>57.17259</v>
      </c>
      <c r="D201" s="203">
        <f t="shared" si="51"/>
        <v>95.287649999999999</v>
      </c>
      <c r="E201" s="243"/>
      <c r="F201" s="239"/>
      <c r="G201" s="223" t="s">
        <v>92</v>
      </c>
      <c r="H201" s="224">
        <f t="shared" si="52"/>
        <v>72.410550000000001</v>
      </c>
      <c r="I201" s="203">
        <f t="shared" si="53"/>
        <v>120.68424999999999</v>
      </c>
      <c r="J201" s="21"/>
    </row>
    <row r="202" spans="1:10" ht="21" customHeight="1" x14ac:dyDescent="0.2">
      <c r="A202" s="21"/>
      <c r="B202" s="223" t="s">
        <v>78</v>
      </c>
      <c r="C202" s="224">
        <f t="shared" si="50"/>
        <v>59.448600000000006</v>
      </c>
      <c r="D202" s="203">
        <f t="shared" si="51"/>
        <v>99.081000000000003</v>
      </c>
      <c r="E202" s="243"/>
      <c r="F202" s="239"/>
      <c r="G202" s="223" t="s">
        <v>93</v>
      </c>
      <c r="H202" s="224">
        <f t="shared" si="52"/>
        <v>79.372379999999993</v>
      </c>
      <c r="I202" s="203">
        <f t="shared" si="53"/>
        <v>132.28729999999999</v>
      </c>
      <c r="J202" s="21"/>
    </row>
    <row r="203" spans="1:10" ht="21" customHeight="1" x14ac:dyDescent="0.2">
      <c r="A203" s="21"/>
      <c r="B203" s="223" t="s">
        <v>79</v>
      </c>
      <c r="C203" s="224">
        <f t="shared" si="50"/>
        <v>60.323190000000011</v>
      </c>
      <c r="D203" s="203">
        <f t="shared" si="51"/>
        <v>100.53865000000002</v>
      </c>
      <c r="E203" s="243"/>
      <c r="F203" s="239"/>
      <c r="G203" s="223" t="s">
        <v>94</v>
      </c>
      <c r="H203" s="224">
        <f t="shared" si="52"/>
        <v>82.759439999999984</v>
      </c>
      <c r="I203" s="203">
        <f t="shared" si="53"/>
        <v>137.93239999999997</v>
      </c>
      <c r="J203" s="21"/>
    </row>
    <row r="204" spans="1:10" ht="21" customHeight="1" x14ac:dyDescent="0.2">
      <c r="A204" s="21"/>
      <c r="B204" s="223" t="s">
        <v>80</v>
      </c>
      <c r="C204" s="224">
        <f t="shared" si="50"/>
        <v>61.338930000000005</v>
      </c>
      <c r="D204" s="203">
        <f t="shared" si="51"/>
        <v>102.23155000000001</v>
      </c>
      <c r="E204" s="243"/>
      <c r="F204" s="239"/>
      <c r="G204" s="223" t="s">
        <v>95</v>
      </c>
      <c r="H204" s="224">
        <f t="shared" si="52"/>
        <v>86.454300000000003</v>
      </c>
      <c r="I204" s="203">
        <f t="shared" si="53"/>
        <v>144.09050000000002</v>
      </c>
      <c r="J204" s="21"/>
    </row>
    <row r="205" spans="1:10" ht="21" customHeight="1" x14ac:dyDescent="0.2">
      <c r="A205" s="21"/>
      <c r="B205" s="223" t="s">
        <v>81</v>
      </c>
      <c r="C205" s="224">
        <f t="shared" si="50"/>
        <v>62.429700000000004</v>
      </c>
      <c r="D205" s="203">
        <f t="shared" si="51"/>
        <v>104.04950000000001</v>
      </c>
      <c r="E205" s="243"/>
      <c r="F205" s="239"/>
      <c r="G205" s="223" t="s">
        <v>96</v>
      </c>
      <c r="H205" s="224">
        <f t="shared" si="52"/>
        <v>92.426519999999996</v>
      </c>
      <c r="I205" s="203">
        <f t="shared" si="53"/>
        <v>154.04420000000002</v>
      </c>
      <c r="J205" s="21"/>
    </row>
    <row r="206" spans="1:10" ht="21" customHeight="1" x14ac:dyDescent="0.2">
      <c r="A206" s="21"/>
      <c r="B206" s="223" t="s">
        <v>82</v>
      </c>
      <c r="C206" s="224">
        <f t="shared" si="50"/>
        <v>64.827120000000008</v>
      </c>
      <c r="D206" s="203">
        <f t="shared" si="51"/>
        <v>108.04520000000001</v>
      </c>
      <c r="E206" s="243"/>
      <c r="F206" s="239"/>
      <c r="G206" s="233" t="s">
        <v>97</v>
      </c>
      <c r="H206" s="227">
        <f t="shared" si="52"/>
        <v>97.170600000000007</v>
      </c>
      <c r="I206" s="208">
        <f t="shared" si="53"/>
        <v>161.95099999999999</v>
      </c>
      <c r="J206" s="21"/>
    </row>
    <row r="207" spans="1:10" ht="21" customHeight="1" x14ac:dyDescent="0.2">
      <c r="A207" s="21"/>
      <c r="B207" s="233" t="s">
        <v>83</v>
      </c>
      <c r="C207" s="227">
        <f t="shared" si="50"/>
        <v>66.96708000000001</v>
      </c>
      <c r="D207" s="208">
        <f t="shared" si="51"/>
        <v>111.6118</v>
      </c>
      <c r="E207" s="243"/>
      <c r="F207" s="89"/>
      <c r="G207" s="245"/>
      <c r="H207" s="21"/>
      <c r="I207" s="21"/>
      <c r="J207" s="21"/>
    </row>
    <row r="208" spans="1:10" ht="21" customHeight="1" x14ac:dyDescent="0.2">
      <c r="A208" s="21"/>
      <c r="B208" s="2"/>
      <c r="C208" s="89"/>
      <c r="D208" s="89"/>
      <c r="E208" s="89"/>
      <c r="F208" s="89"/>
      <c r="G208" s="21"/>
      <c r="H208" s="21"/>
      <c r="I208" s="21"/>
      <c r="J208" s="21"/>
    </row>
    <row r="209" spans="1:13" ht="21" customHeight="1" x14ac:dyDescent="0.2">
      <c r="B209" s="378" t="s">
        <v>391</v>
      </c>
      <c r="C209" s="378"/>
      <c r="D209" s="378"/>
      <c r="E209" s="378"/>
      <c r="F209" s="378"/>
      <c r="G209" s="378"/>
      <c r="H209" s="378"/>
      <c r="I209" s="378"/>
      <c r="J209" s="378"/>
    </row>
    <row r="210" spans="1:13" ht="21" customHeight="1" x14ac:dyDescent="0.2">
      <c r="M210" s="238"/>
    </row>
    <row r="211" spans="1:13" ht="21" customHeight="1" x14ac:dyDescent="0.2">
      <c r="A211" s="21"/>
      <c r="B211" s="379" t="s">
        <v>47</v>
      </c>
      <c r="C211" s="392" t="s">
        <v>392</v>
      </c>
      <c r="D211" s="393"/>
      <c r="E211" s="394"/>
      <c r="F211" s="195"/>
      <c r="G211" s="379" t="s">
        <v>47</v>
      </c>
      <c r="H211" s="392" t="s">
        <v>392</v>
      </c>
      <c r="I211" s="393"/>
      <c r="J211" s="394"/>
    </row>
    <row r="212" spans="1:13" ht="21" customHeight="1" x14ac:dyDescent="0.2">
      <c r="A212" s="21"/>
      <c r="B212" s="380"/>
      <c r="C212" s="196">
        <v>44197</v>
      </c>
      <c r="D212" s="246" t="s">
        <v>393</v>
      </c>
      <c r="E212" s="216">
        <v>44927</v>
      </c>
      <c r="F212" s="195"/>
      <c r="G212" s="380"/>
      <c r="H212" s="196">
        <v>44197</v>
      </c>
      <c r="I212" s="246" t="s">
        <v>393</v>
      </c>
      <c r="J212" s="216">
        <v>44927</v>
      </c>
    </row>
    <row r="213" spans="1:13" ht="21" customHeight="1" x14ac:dyDescent="0.2">
      <c r="A213" s="21"/>
      <c r="B213" s="197" t="s">
        <v>69</v>
      </c>
      <c r="C213" s="199">
        <f t="shared" ref="C213:C226" si="54">C172</f>
        <v>17734.170000000002</v>
      </c>
      <c r="D213" s="199">
        <v>310.2</v>
      </c>
      <c r="E213" s="200">
        <f>C213+D213</f>
        <v>18044.370000000003</v>
      </c>
      <c r="F213" s="21"/>
      <c r="G213" s="197" t="s">
        <v>84</v>
      </c>
      <c r="H213" s="202">
        <f t="shared" ref="H213:H225" si="55">H172</f>
        <v>21146.87</v>
      </c>
      <c r="I213" s="202">
        <v>246</v>
      </c>
      <c r="J213" s="203">
        <f>H213+I213</f>
        <v>21392.87</v>
      </c>
    </row>
    <row r="214" spans="1:13" ht="21" customHeight="1" x14ac:dyDescent="0.2">
      <c r="A214" s="21"/>
      <c r="B214" s="204" t="s">
        <v>70</v>
      </c>
      <c r="C214" s="202">
        <f t="shared" si="54"/>
        <v>17973.11</v>
      </c>
      <c r="D214" s="202">
        <v>310.2</v>
      </c>
      <c r="E214" s="203">
        <f t="shared" ref="E214:E226" si="56">C214+D214</f>
        <v>18283.310000000001</v>
      </c>
      <c r="F214" s="21"/>
      <c r="G214" s="204" t="s">
        <v>85</v>
      </c>
      <c r="H214" s="202">
        <f t="shared" si="55"/>
        <v>21651.260000000002</v>
      </c>
      <c r="I214" s="202">
        <v>235.32</v>
      </c>
      <c r="J214" s="203">
        <f t="shared" ref="J214:J225" si="57">H214+I214</f>
        <v>21886.58</v>
      </c>
    </row>
    <row r="215" spans="1:13" ht="21" customHeight="1" x14ac:dyDescent="0.2">
      <c r="A215" s="21"/>
      <c r="B215" s="204" t="s">
        <v>71</v>
      </c>
      <c r="C215" s="202">
        <f t="shared" si="54"/>
        <v>18353.759999999998</v>
      </c>
      <c r="D215" s="202">
        <v>299.52</v>
      </c>
      <c r="E215" s="203">
        <f t="shared" si="56"/>
        <v>18653.28</v>
      </c>
      <c r="F215" s="21"/>
      <c r="G215" s="204" t="s">
        <v>86</v>
      </c>
      <c r="H215" s="202">
        <f t="shared" si="55"/>
        <v>22255.819999999996</v>
      </c>
      <c r="I215" s="202">
        <v>213.96</v>
      </c>
      <c r="J215" s="203">
        <f t="shared" si="57"/>
        <v>22469.779999999995</v>
      </c>
    </row>
    <row r="216" spans="1:13" ht="21" customHeight="1" x14ac:dyDescent="0.2">
      <c r="A216" s="21"/>
      <c r="B216" s="204" t="s">
        <v>72</v>
      </c>
      <c r="C216" s="202">
        <f t="shared" si="54"/>
        <v>18679.740000000002</v>
      </c>
      <c r="D216" s="202">
        <v>288.83999999999997</v>
      </c>
      <c r="E216" s="203">
        <f t="shared" si="56"/>
        <v>18968.580000000002</v>
      </c>
      <c r="F216" s="21"/>
      <c r="G216" s="204" t="s">
        <v>87</v>
      </c>
      <c r="H216" s="202">
        <f t="shared" si="55"/>
        <v>22958.510000000002</v>
      </c>
      <c r="I216" s="202">
        <v>192.6</v>
      </c>
      <c r="J216" s="203">
        <f t="shared" si="57"/>
        <v>23151.11</v>
      </c>
    </row>
    <row r="217" spans="1:13" ht="21" customHeight="1" x14ac:dyDescent="0.2">
      <c r="A217" s="21"/>
      <c r="B217" s="204" t="s">
        <v>73</v>
      </c>
      <c r="C217" s="202">
        <f t="shared" si="54"/>
        <v>19066.77</v>
      </c>
      <c r="D217" s="202">
        <v>278.16000000000003</v>
      </c>
      <c r="E217" s="203">
        <f t="shared" si="56"/>
        <v>19344.93</v>
      </c>
      <c r="F217" s="21"/>
      <c r="G217" s="204" t="s">
        <v>88</v>
      </c>
      <c r="H217" s="202">
        <f t="shared" si="55"/>
        <v>23807.999999999996</v>
      </c>
      <c r="I217" s="202">
        <v>181.8</v>
      </c>
      <c r="J217" s="203">
        <f t="shared" si="57"/>
        <v>23989.799999999996</v>
      </c>
    </row>
    <row r="218" spans="1:13" ht="21" customHeight="1" x14ac:dyDescent="0.2">
      <c r="A218" s="21"/>
      <c r="B218" s="204" t="s">
        <v>74</v>
      </c>
      <c r="C218" s="207">
        <f t="shared" si="54"/>
        <v>19676.93</v>
      </c>
      <c r="D218" s="207"/>
      <c r="E218" s="208">
        <f t="shared" si="56"/>
        <v>19676.93</v>
      </c>
      <c r="F218" s="21"/>
      <c r="G218" s="204" t="s">
        <v>89</v>
      </c>
      <c r="H218" s="207">
        <f t="shared" si="55"/>
        <v>24655</v>
      </c>
      <c r="I218" s="207"/>
      <c r="J218" s="208">
        <f t="shared" si="57"/>
        <v>24655</v>
      </c>
    </row>
    <row r="219" spans="1:13" ht="21" customHeight="1" x14ac:dyDescent="0.2">
      <c r="A219" s="21"/>
      <c r="B219" s="197" t="s">
        <v>76</v>
      </c>
      <c r="C219" s="210">
        <f t="shared" si="54"/>
        <v>18745.669999999998</v>
      </c>
      <c r="D219" s="210">
        <v>288.83999999999997</v>
      </c>
      <c r="E219" s="211">
        <f t="shared" si="56"/>
        <v>19034.509999999998</v>
      </c>
      <c r="F219" s="21"/>
      <c r="G219" s="197" t="s">
        <v>91</v>
      </c>
      <c r="H219" s="210">
        <f t="shared" si="55"/>
        <v>23009.069999999996</v>
      </c>
      <c r="I219" s="210">
        <v>203.28</v>
      </c>
      <c r="J219" s="211">
        <f t="shared" si="57"/>
        <v>23212.349999999995</v>
      </c>
    </row>
    <row r="220" spans="1:13" ht="21" customHeight="1" x14ac:dyDescent="0.2">
      <c r="A220" s="21"/>
      <c r="B220" s="204" t="s">
        <v>77</v>
      </c>
      <c r="C220" s="202">
        <f t="shared" si="54"/>
        <v>19057.53</v>
      </c>
      <c r="D220" s="202">
        <v>278.16000000000003</v>
      </c>
      <c r="E220" s="203">
        <f t="shared" si="56"/>
        <v>19335.689999999999</v>
      </c>
      <c r="F220" s="21"/>
      <c r="G220" s="204" t="s">
        <v>92</v>
      </c>
      <c r="H220" s="202">
        <f t="shared" si="55"/>
        <v>24136.85</v>
      </c>
      <c r="I220" s="202">
        <v>171.12</v>
      </c>
      <c r="J220" s="203">
        <f t="shared" si="57"/>
        <v>24307.969999999998</v>
      </c>
    </row>
    <row r="221" spans="1:13" ht="21" customHeight="1" x14ac:dyDescent="0.2">
      <c r="A221" s="21"/>
      <c r="B221" s="204" t="s">
        <v>78</v>
      </c>
      <c r="C221" s="202">
        <f t="shared" si="54"/>
        <v>19816.2</v>
      </c>
      <c r="D221" s="202">
        <v>256.68</v>
      </c>
      <c r="E221" s="203">
        <f t="shared" si="56"/>
        <v>20072.88</v>
      </c>
      <c r="F221" s="21"/>
      <c r="G221" s="204" t="s">
        <v>93</v>
      </c>
      <c r="H221" s="202">
        <f t="shared" si="55"/>
        <v>26457.46</v>
      </c>
      <c r="I221" s="202">
        <v>96.24</v>
      </c>
      <c r="J221" s="203">
        <f t="shared" si="57"/>
        <v>26553.7</v>
      </c>
    </row>
    <row r="222" spans="1:13" ht="21" customHeight="1" x14ac:dyDescent="0.2">
      <c r="A222" s="21"/>
      <c r="B222" s="204" t="s">
        <v>79</v>
      </c>
      <c r="C222" s="202">
        <f t="shared" si="54"/>
        <v>20107.730000000003</v>
      </c>
      <c r="D222" s="202">
        <v>256.68</v>
      </c>
      <c r="E222" s="203">
        <f t="shared" si="56"/>
        <v>20364.410000000003</v>
      </c>
      <c r="F222" s="21"/>
      <c r="G222" s="204" t="s">
        <v>94</v>
      </c>
      <c r="H222" s="202">
        <f t="shared" si="55"/>
        <v>27586.479999999996</v>
      </c>
      <c r="I222" s="202">
        <v>64.2</v>
      </c>
      <c r="J222" s="203">
        <f t="shared" si="57"/>
        <v>27650.679999999997</v>
      </c>
    </row>
    <row r="223" spans="1:13" ht="21" customHeight="1" x14ac:dyDescent="0.2">
      <c r="A223" s="21"/>
      <c r="B223" s="204" t="s">
        <v>80</v>
      </c>
      <c r="C223" s="202">
        <f t="shared" si="54"/>
        <v>20446.310000000001</v>
      </c>
      <c r="D223" s="202">
        <v>246</v>
      </c>
      <c r="E223" s="203">
        <f t="shared" si="56"/>
        <v>20692.310000000001</v>
      </c>
      <c r="F223" s="21"/>
      <c r="G223" s="204" t="s">
        <v>95</v>
      </c>
      <c r="H223" s="202">
        <f t="shared" si="55"/>
        <v>28818.100000000002</v>
      </c>
      <c r="I223" s="202">
        <v>21.36</v>
      </c>
      <c r="J223" s="203">
        <f t="shared" si="57"/>
        <v>28839.460000000003</v>
      </c>
    </row>
    <row r="224" spans="1:13" ht="21" customHeight="1" x14ac:dyDescent="0.2">
      <c r="A224" s="21"/>
      <c r="B224" s="204" t="s">
        <v>81</v>
      </c>
      <c r="C224" s="202">
        <f t="shared" si="54"/>
        <v>20809.900000000001</v>
      </c>
      <c r="D224" s="202">
        <v>246</v>
      </c>
      <c r="E224" s="203">
        <f t="shared" si="56"/>
        <v>21055.9</v>
      </c>
      <c r="F224" s="21"/>
      <c r="G224" s="204" t="s">
        <v>96</v>
      </c>
      <c r="H224" s="202">
        <f t="shared" si="55"/>
        <v>30808.84</v>
      </c>
      <c r="I224" s="202">
        <v>21.36</v>
      </c>
      <c r="J224" s="203">
        <f t="shared" si="57"/>
        <v>30830.2</v>
      </c>
    </row>
    <row r="225" spans="1:13" ht="21" customHeight="1" x14ac:dyDescent="0.2">
      <c r="A225" s="21"/>
      <c r="B225" s="204" t="s">
        <v>82</v>
      </c>
      <c r="C225" s="202">
        <f t="shared" si="54"/>
        <v>21609.040000000001</v>
      </c>
      <c r="D225" s="202">
        <v>235.32</v>
      </c>
      <c r="E225" s="203">
        <f t="shared" si="56"/>
        <v>21844.36</v>
      </c>
      <c r="F225" s="21"/>
      <c r="G225" s="205" t="s">
        <v>97</v>
      </c>
      <c r="H225" s="207">
        <f t="shared" si="55"/>
        <v>32390.2</v>
      </c>
      <c r="I225" s="207"/>
      <c r="J225" s="208">
        <f t="shared" si="57"/>
        <v>32390.2</v>
      </c>
      <c r="M225" s="89"/>
    </row>
    <row r="226" spans="1:13" ht="21" customHeight="1" x14ac:dyDescent="0.2">
      <c r="A226" s="21"/>
      <c r="B226" s="205" t="s">
        <v>83</v>
      </c>
      <c r="C226" s="207">
        <f t="shared" si="54"/>
        <v>22322.36</v>
      </c>
      <c r="D226" s="207"/>
      <c r="E226" s="208">
        <f t="shared" si="56"/>
        <v>22322.36</v>
      </c>
      <c r="F226" s="21"/>
      <c r="G226" s="21"/>
      <c r="H226" s="21"/>
      <c r="I226" s="21"/>
      <c r="J226" s="21"/>
      <c r="M226" s="89"/>
    </row>
    <row r="227" spans="1:13" ht="21" customHeight="1" x14ac:dyDescent="0.2">
      <c r="A227" s="21"/>
      <c r="B227" s="21"/>
      <c r="C227" s="21"/>
      <c r="D227" s="21"/>
      <c r="E227" s="21"/>
      <c r="F227" s="21"/>
      <c r="G227" s="21"/>
      <c r="H227" s="21"/>
      <c r="I227" s="21"/>
      <c r="J227" s="21"/>
      <c r="M227" s="89"/>
    </row>
    <row r="228" spans="1:13" ht="21" customHeight="1" x14ac:dyDescent="0.2">
      <c r="A228" s="374" t="s">
        <v>368</v>
      </c>
      <c r="B228" s="390" t="s">
        <v>389</v>
      </c>
      <c r="C228" s="391"/>
      <c r="D228" s="391"/>
      <c r="E228" s="391"/>
      <c r="F228" s="391"/>
      <c r="G228" s="391"/>
      <c r="H228" s="391"/>
      <c r="I228" s="391"/>
      <c r="J228" s="391"/>
      <c r="M228" s="89"/>
    </row>
    <row r="229" spans="1:13" ht="21" customHeight="1" x14ac:dyDescent="0.2">
      <c r="A229" s="374"/>
      <c r="B229" s="390" t="s">
        <v>376</v>
      </c>
      <c r="C229" s="391"/>
      <c r="D229" s="391"/>
      <c r="E229" s="391"/>
      <c r="F229" s="391"/>
      <c r="G229" s="391"/>
      <c r="H229" s="391"/>
      <c r="I229" s="391"/>
      <c r="J229" s="391"/>
      <c r="M229" s="89"/>
    </row>
    <row r="230" spans="1:13" ht="21" customHeight="1" x14ac:dyDescent="0.2">
      <c r="A230" s="193"/>
      <c r="B230" s="235"/>
      <c r="C230" s="235"/>
      <c r="D230" s="235"/>
      <c r="E230" s="235"/>
      <c r="F230" s="235"/>
      <c r="G230" s="235"/>
      <c r="H230" s="235"/>
      <c r="I230" s="235"/>
      <c r="J230" s="235"/>
      <c r="M230" s="89"/>
    </row>
    <row r="231" spans="1:13" ht="21" customHeight="1" x14ac:dyDescent="0.2">
      <c r="A231" s="214"/>
      <c r="B231" s="378" t="s">
        <v>483</v>
      </c>
      <c r="C231" s="378"/>
      <c r="D231" s="378"/>
      <c r="E231" s="378"/>
      <c r="F231" s="378"/>
      <c r="G231" s="378"/>
      <c r="H231" s="378"/>
      <c r="I231" s="378"/>
      <c r="J231" s="378"/>
    </row>
    <row r="232" spans="1:13" ht="21" customHeight="1" x14ac:dyDescent="0.2"/>
    <row r="233" spans="1:13" ht="21" customHeight="1" x14ac:dyDescent="0.2">
      <c r="A233" s="21"/>
      <c r="B233" s="395" t="s">
        <v>47</v>
      </c>
      <c r="C233" s="287" t="s">
        <v>484</v>
      </c>
      <c r="D233" s="288"/>
      <c r="E233" s="395" t="s">
        <v>47</v>
      </c>
      <c r="F233" s="287" t="s">
        <v>484</v>
      </c>
      <c r="G233" s="195"/>
      <c r="H233" s="21"/>
      <c r="I233" s="21"/>
      <c r="J233" s="21"/>
    </row>
    <row r="234" spans="1:13" ht="21" customHeight="1" x14ac:dyDescent="0.2">
      <c r="A234" s="21"/>
      <c r="B234" s="396"/>
      <c r="C234" s="216">
        <v>44927</v>
      </c>
      <c r="D234" s="242"/>
      <c r="E234" s="396"/>
      <c r="F234" s="216">
        <v>44927</v>
      </c>
      <c r="G234" s="21"/>
      <c r="H234" s="21"/>
      <c r="I234" s="21"/>
      <c r="J234" s="21"/>
    </row>
    <row r="235" spans="1:13" ht="21" customHeight="1" x14ac:dyDescent="0.2">
      <c r="A235" s="21"/>
      <c r="B235" s="219" t="s">
        <v>69</v>
      </c>
      <c r="C235" s="289">
        <f t="shared" ref="C235:C248" si="58">E213*0.005</f>
        <v>90.221850000000018</v>
      </c>
      <c r="D235" s="239"/>
      <c r="E235" s="219" t="s">
        <v>84</v>
      </c>
      <c r="F235" s="289">
        <f t="shared" ref="F235:F247" si="59">J213*0.005</f>
        <v>106.96435</v>
      </c>
      <c r="G235" s="21"/>
      <c r="H235" s="21"/>
      <c r="I235" s="21"/>
      <c r="J235" s="21"/>
    </row>
    <row r="236" spans="1:13" ht="21" customHeight="1" x14ac:dyDescent="0.2">
      <c r="A236" s="21"/>
      <c r="B236" s="223" t="s">
        <v>70</v>
      </c>
      <c r="C236" s="290">
        <f t="shared" si="58"/>
        <v>91.416550000000015</v>
      </c>
      <c r="D236" s="239"/>
      <c r="E236" s="223" t="s">
        <v>85</v>
      </c>
      <c r="F236" s="290">
        <f t="shared" si="59"/>
        <v>109.43290000000002</v>
      </c>
      <c r="G236" s="21"/>
      <c r="H236" s="21"/>
      <c r="I236" s="21"/>
      <c r="J236" s="21"/>
    </row>
    <row r="237" spans="1:13" ht="21" customHeight="1" x14ac:dyDescent="0.2">
      <c r="A237" s="21"/>
      <c r="B237" s="223" t="s">
        <v>71</v>
      </c>
      <c r="C237" s="290">
        <f t="shared" si="58"/>
        <v>93.26639999999999</v>
      </c>
      <c r="D237" s="239"/>
      <c r="E237" s="223" t="s">
        <v>86</v>
      </c>
      <c r="F237" s="290">
        <f t="shared" si="59"/>
        <v>112.34889999999997</v>
      </c>
      <c r="G237" s="21"/>
      <c r="H237" s="21"/>
      <c r="I237" s="21"/>
      <c r="J237" s="21"/>
    </row>
    <row r="238" spans="1:13" ht="21" customHeight="1" x14ac:dyDescent="0.2">
      <c r="A238" s="21"/>
      <c r="B238" s="223" t="s">
        <v>72</v>
      </c>
      <c r="C238" s="290">
        <f t="shared" si="58"/>
        <v>94.842900000000014</v>
      </c>
      <c r="D238" s="239"/>
      <c r="E238" s="223" t="s">
        <v>87</v>
      </c>
      <c r="F238" s="290">
        <f t="shared" si="59"/>
        <v>115.75555</v>
      </c>
      <c r="G238" s="21"/>
      <c r="H238" s="21"/>
      <c r="I238" s="21"/>
      <c r="J238" s="21"/>
    </row>
    <row r="239" spans="1:13" ht="21" customHeight="1" x14ac:dyDescent="0.2">
      <c r="A239" s="21"/>
      <c r="B239" s="223" t="s">
        <v>73</v>
      </c>
      <c r="C239" s="290">
        <f t="shared" si="58"/>
        <v>96.724649999999997</v>
      </c>
      <c r="D239" s="239"/>
      <c r="E239" s="223" t="s">
        <v>88</v>
      </c>
      <c r="F239" s="290">
        <f t="shared" si="59"/>
        <v>119.94899999999998</v>
      </c>
      <c r="G239" s="21"/>
      <c r="H239" s="21"/>
      <c r="I239" s="21"/>
      <c r="J239" s="21"/>
    </row>
    <row r="240" spans="1:13" ht="21" customHeight="1" x14ac:dyDescent="0.2">
      <c r="A240" s="21"/>
      <c r="B240" s="233" t="s">
        <v>74</v>
      </c>
      <c r="C240" s="291">
        <f t="shared" si="58"/>
        <v>98.384650000000008</v>
      </c>
      <c r="D240" s="239"/>
      <c r="E240" s="223" t="s">
        <v>89</v>
      </c>
      <c r="F240" s="291">
        <f t="shared" si="59"/>
        <v>123.27500000000001</v>
      </c>
      <c r="G240" s="21"/>
      <c r="H240" s="21"/>
      <c r="I240" s="21"/>
      <c r="J240" s="21"/>
    </row>
    <row r="241" spans="1:13" ht="21" customHeight="1" x14ac:dyDescent="0.2">
      <c r="A241" s="21"/>
      <c r="B241" s="244" t="s">
        <v>76</v>
      </c>
      <c r="C241" s="292">
        <f t="shared" si="58"/>
        <v>95.172549999999987</v>
      </c>
      <c r="D241" s="239"/>
      <c r="E241" s="219" t="s">
        <v>91</v>
      </c>
      <c r="F241" s="292">
        <f t="shared" si="59"/>
        <v>116.06174999999998</v>
      </c>
      <c r="G241" s="21"/>
      <c r="H241" s="21"/>
      <c r="I241" s="21"/>
      <c r="J241" s="21"/>
    </row>
    <row r="242" spans="1:13" ht="21" customHeight="1" x14ac:dyDescent="0.2">
      <c r="A242" s="21"/>
      <c r="B242" s="223" t="s">
        <v>77</v>
      </c>
      <c r="C242" s="290">
        <f t="shared" si="58"/>
        <v>96.678449999999998</v>
      </c>
      <c r="D242" s="239"/>
      <c r="E242" s="223" t="s">
        <v>92</v>
      </c>
      <c r="F242" s="290">
        <f t="shared" si="59"/>
        <v>121.53984999999999</v>
      </c>
      <c r="G242" s="21"/>
      <c r="H242" s="21"/>
      <c r="I242" s="21"/>
      <c r="J242" s="21"/>
    </row>
    <row r="243" spans="1:13" ht="21" customHeight="1" x14ac:dyDescent="0.2">
      <c r="A243" s="21"/>
      <c r="B243" s="223" t="s">
        <v>78</v>
      </c>
      <c r="C243" s="290">
        <f t="shared" si="58"/>
        <v>100.3644</v>
      </c>
      <c r="D243" s="239"/>
      <c r="E243" s="223" t="s">
        <v>93</v>
      </c>
      <c r="F243" s="290">
        <f t="shared" si="59"/>
        <v>132.76850000000002</v>
      </c>
      <c r="G243" s="21"/>
      <c r="H243" s="21"/>
      <c r="I243" s="21"/>
      <c r="J243" s="21"/>
    </row>
    <row r="244" spans="1:13" ht="21" customHeight="1" x14ac:dyDescent="0.2">
      <c r="A244" s="21"/>
      <c r="B244" s="223" t="s">
        <v>79</v>
      </c>
      <c r="C244" s="290">
        <f t="shared" si="58"/>
        <v>101.82205000000002</v>
      </c>
      <c r="D244" s="239"/>
      <c r="E244" s="223" t="s">
        <v>94</v>
      </c>
      <c r="F244" s="290">
        <f t="shared" si="59"/>
        <v>138.2534</v>
      </c>
      <c r="G244" s="21"/>
      <c r="H244" s="21"/>
      <c r="I244" s="21"/>
      <c r="J244" s="21"/>
    </row>
    <row r="245" spans="1:13" ht="21" customHeight="1" x14ac:dyDescent="0.2">
      <c r="A245" s="21"/>
      <c r="B245" s="223" t="s">
        <v>80</v>
      </c>
      <c r="C245" s="290">
        <f t="shared" si="58"/>
        <v>103.46155</v>
      </c>
      <c r="D245" s="239"/>
      <c r="E245" s="223" t="s">
        <v>95</v>
      </c>
      <c r="F245" s="290">
        <f t="shared" si="59"/>
        <v>144.19730000000001</v>
      </c>
      <c r="G245" s="21"/>
      <c r="H245" s="21"/>
      <c r="I245" s="21"/>
      <c r="J245" s="21"/>
    </row>
    <row r="246" spans="1:13" ht="21" customHeight="1" x14ac:dyDescent="0.2">
      <c r="A246" s="21"/>
      <c r="B246" s="223" t="s">
        <v>81</v>
      </c>
      <c r="C246" s="290">
        <f t="shared" si="58"/>
        <v>105.27950000000001</v>
      </c>
      <c r="D246" s="239"/>
      <c r="E246" s="223" t="s">
        <v>96</v>
      </c>
      <c r="F246" s="290">
        <f t="shared" si="59"/>
        <v>154.15100000000001</v>
      </c>
      <c r="G246" s="21"/>
      <c r="H246" s="21"/>
      <c r="I246" s="21"/>
      <c r="J246" s="21"/>
    </row>
    <row r="247" spans="1:13" ht="21" customHeight="1" x14ac:dyDescent="0.2">
      <c r="A247" s="21"/>
      <c r="B247" s="223" t="s">
        <v>82</v>
      </c>
      <c r="C247" s="290">
        <f t="shared" si="58"/>
        <v>109.2218</v>
      </c>
      <c r="D247" s="239"/>
      <c r="E247" s="233" t="s">
        <v>97</v>
      </c>
      <c r="F247" s="291">
        <f t="shared" si="59"/>
        <v>161.95099999999999</v>
      </c>
      <c r="G247" s="21"/>
      <c r="H247" s="21"/>
      <c r="I247" s="21"/>
      <c r="J247" s="21"/>
    </row>
    <row r="248" spans="1:13" ht="21" customHeight="1" x14ac:dyDescent="0.2">
      <c r="A248" s="21"/>
      <c r="B248" s="233" t="s">
        <v>83</v>
      </c>
      <c r="C248" s="291">
        <f t="shared" si="58"/>
        <v>111.6118</v>
      </c>
      <c r="D248" s="89"/>
      <c r="E248" s="245"/>
      <c r="F248" s="21"/>
      <c r="G248" s="21"/>
      <c r="H248" s="21"/>
      <c r="I248" s="21"/>
      <c r="J248" s="21"/>
    </row>
    <row r="249" spans="1:13" ht="21" customHeight="1" x14ac:dyDescent="0.2">
      <c r="A249" s="21"/>
      <c r="B249" s="2"/>
      <c r="C249" s="89"/>
      <c r="D249" s="89"/>
      <c r="E249" s="89"/>
      <c r="F249" s="89"/>
      <c r="G249" s="21"/>
      <c r="H249" s="21"/>
      <c r="I249" s="21"/>
      <c r="J249" s="21"/>
    </row>
    <row r="250" spans="1:13" ht="21" customHeight="1" x14ac:dyDescent="0.2">
      <c r="A250" s="193"/>
      <c r="B250" s="235"/>
      <c r="C250" s="235"/>
      <c r="D250" s="235"/>
      <c r="E250" s="235"/>
      <c r="F250" s="235"/>
      <c r="G250" s="235"/>
      <c r="H250" s="235"/>
      <c r="I250" s="235"/>
      <c r="J250" s="235"/>
      <c r="M250" s="89"/>
    </row>
    <row r="251" spans="1:13" ht="21" customHeight="1" x14ac:dyDescent="0.2">
      <c r="B251" s="378" t="s">
        <v>394</v>
      </c>
      <c r="C251" s="378"/>
      <c r="D251" s="378"/>
      <c r="E251" s="378"/>
      <c r="F251" s="378"/>
      <c r="G251" s="378"/>
      <c r="H251" s="378"/>
      <c r="I251" s="378"/>
      <c r="J251" s="378"/>
    </row>
    <row r="252" spans="1:13" ht="21" customHeight="1" x14ac:dyDescent="0.2">
      <c r="M252" s="238"/>
    </row>
    <row r="253" spans="1:13" ht="21" customHeight="1" x14ac:dyDescent="0.2">
      <c r="A253" s="21"/>
      <c r="B253" s="379" t="s">
        <v>47</v>
      </c>
      <c r="C253" s="387" t="s">
        <v>395</v>
      </c>
      <c r="D253" s="388"/>
      <c r="E253" s="388"/>
      <c r="F253" s="389"/>
      <c r="G253" s="379" t="s">
        <v>47</v>
      </c>
      <c r="H253" s="387" t="s">
        <v>395</v>
      </c>
      <c r="I253" s="388"/>
      <c r="J253" s="388"/>
      <c r="K253" s="389"/>
    </row>
    <row r="254" spans="1:13" ht="21" customHeight="1" x14ac:dyDescent="0.2">
      <c r="A254" s="21"/>
      <c r="B254" s="380"/>
      <c r="C254" s="196">
        <v>43466</v>
      </c>
      <c r="D254" s="196">
        <v>43831</v>
      </c>
      <c r="E254" s="216">
        <v>44197</v>
      </c>
      <c r="F254" s="216">
        <v>44927</v>
      </c>
      <c r="G254" s="380"/>
      <c r="H254" s="196">
        <v>43466</v>
      </c>
      <c r="I254" s="196">
        <v>43831</v>
      </c>
      <c r="J254" s="216">
        <v>44197</v>
      </c>
      <c r="K254" s="216">
        <v>44927</v>
      </c>
    </row>
    <row r="255" spans="1:13" ht="21" customHeight="1" x14ac:dyDescent="0.2">
      <c r="A255" s="21"/>
      <c r="B255" s="197" t="s">
        <v>69</v>
      </c>
      <c r="C255" s="199">
        <f t="shared" ref="C255:C268" si="60">C130/12</f>
        <v>1430.3475000000001</v>
      </c>
      <c r="D255" s="199">
        <f t="shared" ref="D255:D268" si="61">C151/12</f>
        <v>1442.0474999999999</v>
      </c>
      <c r="E255" s="199">
        <f>C213/12</f>
        <v>1477.8475000000001</v>
      </c>
      <c r="F255" s="200">
        <f>E213/12</f>
        <v>1503.6975000000002</v>
      </c>
      <c r="G255" s="197" t="s">
        <v>84</v>
      </c>
      <c r="H255" s="202">
        <f t="shared" ref="H255:H267" si="62">H130/12</f>
        <v>1705.5391666666667</v>
      </c>
      <c r="I255" s="202">
        <f t="shared" ref="I255:I267" si="63">H151/12</f>
        <v>1719.5391666666667</v>
      </c>
      <c r="J255" s="202">
        <f>H213/12</f>
        <v>1762.2391666666665</v>
      </c>
      <c r="K255" s="203">
        <f>J213/12</f>
        <v>1782.7391666666665</v>
      </c>
    </row>
    <row r="256" spans="1:13" ht="21" customHeight="1" x14ac:dyDescent="0.2">
      <c r="A256" s="21"/>
      <c r="B256" s="204" t="s">
        <v>70</v>
      </c>
      <c r="C256" s="202">
        <f t="shared" si="60"/>
        <v>1449.5591666666669</v>
      </c>
      <c r="D256" s="202">
        <f t="shared" si="61"/>
        <v>1461.3591666666669</v>
      </c>
      <c r="E256" s="202">
        <f t="shared" ref="E256:E268" si="64">C214/12</f>
        <v>1497.7591666666667</v>
      </c>
      <c r="F256" s="203">
        <f t="shared" ref="F256:F268" si="65">E214/12</f>
        <v>1523.6091666666669</v>
      </c>
      <c r="G256" s="204" t="s">
        <v>85</v>
      </c>
      <c r="H256" s="202">
        <f t="shared" si="62"/>
        <v>1746.2716666666668</v>
      </c>
      <c r="I256" s="202">
        <f t="shared" si="63"/>
        <v>1760.5716666666667</v>
      </c>
      <c r="J256" s="202">
        <f t="shared" ref="J256:J267" si="66">H214/12</f>
        <v>1804.2716666666668</v>
      </c>
      <c r="K256" s="203">
        <f t="shared" ref="K256:K267" si="67">J214/12</f>
        <v>1823.8816666666669</v>
      </c>
    </row>
    <row r="257" spans="1:13" ht="21" customHeight="1" x14ac:dyDescent="0.2">
      <c r="A257" s="21"/>
      <c r="B257" s="204" t="s">
        <v>71</v>
      </c>
      <c r="C257" s="202">
        <f t="shared" si="60"/>
        <v>1480.2799999999997</v>
      </c>
      <c r="D257" s="202">
        <f t="shared" si="61"/>
        <v>1492.3799999999999</v>
      </c>
      <c r="E257" s="202">
        <f t="shared" si="64"/>
        <v>1529.4799999999998</v>
      </c>
      <c r="F257" s="203">
        <f t="shared" si="65"/>
        <v>1554.4399999999998</v>
      </c>
      <c r="G257" s="204" t="s">
        <v>86</v>
      </c>
      <c r="H257" s="202">
        <f t="shared" si="62"/>
        <v>1794.9516666666661</v>
      </c>
      <c r="I257" s="202">
        <f t="shared" si="63"/>
        <v>1809.5516666666663</v>
      </c>
      <c r="J257" s="202">
        <f t="shared" si="66"/>
        <v>1854.6516666666664</v>
      </c>
      <c r="K257" s="203">
        <f t="shared" si="67"/>
        <v>1872.4816666666663</v>
      </c>
    </row>
    <row r="258" spans="1:13" ht="21" customHeight="1" x14ac:dyDescent="0.2">
      <c r="A258" s="21"/>
      <c r="B258" s="204" t="s">
        <v>72</v>
      </c>
      <c r="C258" s="202">
        <f t="shared" si="60"/>
        <v>1506.5450000000001</v>
      </c>
      <c r="D258" s="202">
        <f t="shared" si="61"/>
        <v>1518.9449999999999</v>
      </c>
      <c r="E258" s="202">
        <f t="shared" si="64"/>
        <v>1556.6450000000002</v>
      </c>
      <c r="F258" s="203">
        <f t="shared" si="65"/>
        <v>1580.7150000000001</v>
      </c>
      <c r="G258" s="204" t="s">
        <v>87</v>
      </c>
      <c r="H258" s="202">
        <f t="shared" si="62"/>
        <v>1851.6091666666669</v>
      </c>
      <c r="I258" s="202">
        <f t="shared" si="63"/>
        <v>1866.7091666666668</v>
      </c>
      <c r="J258" s="202">
        <f t="shared" si="66"/>
        <v>1913.2091666666668</v>
      </c>
      <c r="K258" s="203">
        <f t="shared" si="67"/>
        <v>1929.2591666666667</v>
      </c>
    </row>
    <row r="259" spans="1:13" ht="21" customHeight="1" x14ac:dyDescent="0.2">
      <c r="A259" s="21"/>
      <c r="B259" s="204" t="s">
        <v>73</v>
      </c>
      <c r="C259" s="202">
        <f t="shared" si="60"/>
        <v>1537.6975000000002</v>
      </c>
      <c r="D259" s="202">
        <f t="shared" si="61"/>
        <v>1550.2974999999999</v>
      </c>
      <c r="E259" s="202">
        <f t="shared" si="64"/>
        <v>1588.8975</v>
      </c>
      <c r="F259" s="203">
        <f t="shared" si="65"/>
        <v>1612.0775000000001</v>
      </c>
      <c r="G259" s="204" t="s">
        <v>88</v>
      </c>
      <c r="H259" s="202">
        <f t="shared" si="62"/>
        <v>1920.0999999999997</v>
      </c>
      <c r="I259" s="202">
        <f t="shared" si="63"/>
        <v>1935.8</v>
      </c>
      <c r="J259" s="202">
        <f t="shared" si="66"/>
        <v>1983.9999999999998</v>
      </c>
      <c r="K259" s="203">
        <f t="shared" si="67"/>
        <v>1999.1499999999996</v>
      </c>
    </row>
    <row r="260" spans="1:13" ht="21" customHeight="1" x14ac:dyDescent="0.2">
      <c r="A260" s="21"/>
      <c r="B260" s="204" t="s">
        <v>74</v>
      </c>
      <c r="C260" s="207">
        <f t="shared" si="60"/>
        <v>1564.5641666666668</v>
      </c>
      <c r="D260" s="207">
        <f t="shared" si="61"/>
        <v>1577.364166666667</v>
      </c>
      <c r="E260" s="207">
        <f t="shared" si="64"/>
        <v>1639.7441666666666</v>
      </c>
      <c r="F260" s="208">
        <f t="shared" si="65"/>
        <v>1639.7441666666666</v>
      </c>
      <c r="G260" s="204" t="s">
        <v>89</v>
      </c>
      <c r="H260" s="207">
        <f t="shared" si="62"/>
        <v>1973.7333333333333</v>
      </c>
      <c r="I260" s="207">
        <f t="shared" si="63"/>
        <v>1989.9333333333334</v>
      </c>
      <c r="J260" s="207">
        <f t="shared" si="66"/>
        <v>2054.5833333333335</v>
      </c>
      <c r="K260" s="208">
        <f t="shared" si="67"/>
        <v>2054.5833333333335</v>
      </c>
    </row>
    <row r="261" spans="1:13" ht="21" customHeight="1" x14ac:dyDescent="0.2">
      <c r="A261" s="21"/>
      <c r="B261" s="197" t="s">
        <v>76</v>
      </c>
      <c r="C261" s="210">
        <f t="shared" si="60"/>
        <v>1511.9391666666668</v>
      </c>
      <c r="D261" s="210">
        <f t="shared" si="61"/>
        <v>1524.2391666666665</v>
      </c>
      <c r="E261" s="210">
        <f t="shared" si="64"/>
        <v>1562.1391666666666</v>
      </c>
      <c r="F261" s="211">
        <f t="shared" si="65"/>
        <v>1586.2091666666665</v>
      </c>
      <c r="G261" s="197" t="s">
        <v>91</v>
      </c>
      <c r="H261" s="210">
        <f t="shared" si="62"/>
        <v>1855.7224999999999</v>
      </c>
      <c r="I261" s="210">
        <f t="shared" si="63"/>
        <v>1870.9224999999997</v>
      </c>
      <c r="J261" s="210">
        <f t="shared" si="66"/>
        <v>1917.4224999999997</v>
      </c>
      <c r="K261" s="211">
        <f t="shared" si="67"/>
        <v>1934.3624999999995</v>
      </c>
    </row>
    <row r="262" spans="1:13" ht="21" customHeight="1" x14ac:dyDescent="0.2">
      <c r="A262" s="21"/>
      <c r="B262" s="204" t="s">
        <v>77</v>
      </c>
      <c r="C262" s="202">
        <f t="shared" si="60"/>
        <v>1537.0275000000001</v>
      </c>
      <c r="D262" s="202">
        <f t="shared" si="61"/>
        <v>1549.6274999999998</v>
      </c>
      <c r="E262" s="202">
        <f t="shared" si="64"/>
        <v>1588.1274999999998</v>
      </c>
      <c r="F262" s="203">
        <f t="shared" si="65"/>
        <v>1611.3074999999999</v>
      </c>
      <c r="G262" s="204" t="s">
        <v>92</v>
      </c>
      <c r="H262" s="202">
        <f t="shared" si="62"/>
        <v>1946.7041666666667</v>
      </c>
      <c r="I262" s="202">
        <f t="shared" si="63"/>
        <v>1962.6041666666667</v>
      </c>
      <c r="J262" s="202">
        <f t="shared" si="66"/>
        <v>2011.4041666666665</v>
      </c>
      <c r="K262" s="203">
        <f t="shared" si="67"/>
        <v>2025.6641666666665</v>
      </c>
    </row>
    <row r="263" spans="1:13" ht="21" customHeight="1" x14ac:dyDescent="0.2">
      <c r="A263" s="21"/>
      <c r="B263" s="204" t="s">
        <v>78</v>
      </c>
      <c r="C263" s="202">
        <f t="shared" si="60"/>
        <v>1598.25</v>
      </c>
      <c r="D263" s="202">
        <f t="shared" si="61"/>
        <v>1611.3500000000001</v>
      </c>
      <c r="E263" s="202">
        <f t="shared" si="64"/>
        <v>1651.3500000000001</v>
      </c>
      <c r="F263" s="203">
        <f t="shared" si="65"/>
        <v>1672.74</v>
      </c>
      <c r="G263" s="204" t="s">
        <v>93</v>
      </c>
      <c r="H263" s="202">
        <f t="shared" si="62"/>
        <v>2133.7883333333334</v>
      </c>
      <c r="I263" s="202">
        <f t="shared" si="63"/>
        <v>2151.1883333333335</v>
      </c>
      <c r="J263" s="202">
        <f t="shared" si="66"/>
        <v>2204.7883333333334</v>
      </c>
      <c r="K263" s="203">
        <f t="shared" si="67"/>
        <v>2212.8083333333334</v>
      </c>
    </row>
    <row r="264" spans="1:13" ht="21" customHeight="1" x14ac:dyDescent="0.2">
      <c r="A264" s="21"/>
      <c r="B264" s="204" t="s">
        <v>79</v>
      </c>
      <c r="C264" s="202">
        <f t="shared" si="60"/>
        <v>1621.6441666666669</v>
      </c>
      <c r="D264" s="202">
        <f t="shared" si="61"/>
        <v>1634.9441666666669</v>
      </c>
      <c r="E264" s="202">
        <f t="shared" si="64"/>
        <v>1675.6441666666669</v>
      </c>
      <c r="F264" s="203">
        <f t="shared" si="65"/>
        <v>1697.034166666667</v>
      </c>
      <c r="G264" s="204" t="s">
        <v>94</v>
      </c>
      <c r="H264" s="202">
        <f t="shared" si="62"/>
        <v>2224.873333333333</v>
      </c>
      <c r="I264" s="202">
        <f t="shared" si="63"/>
        <v>2243.0733333333333</v>
      </c>
      <c r="J264" s="202">
        <f t="shared" si="66"/>
        <v>2298.873333333333</v>
      </c>
      <c r="K264" s="203">
        <f t="shared" si="67"/>
        <v>2304.2233333333329</v>
      </c>
    </row>
    <row r="265" spans="1:13" ht="21" customHeight="1" x14ac:dyDescent="0.2">
      <c r="A265" s="21"/>
      <c r="B265" s="204" t="s">
        <v>80</v>
      </c>
      <c r="C265" s="202">
        <f t="shared" si="60"/>
        <v>1649.0591666666667</v>
      </c>
      <c r="D265" s="202">
        <f t="shared" si="61"/>
        <v>1662.5591666666667</v>
      </c>
      <c r="E265" s="202">
        <f t="shared" si="64"/>
        <v>1703.8591666666669</v>
      </c>
      <c r="F265" s="203">
        <f t="shared" si="65"/>
        <v>1724.3591666666669</v>
      </c>
      <c r="G265" s="204" t="s">
        <v>95</v>
      </c>
      <c r="H265" s="202">
        <f t="shared" si="62"/>
        <v>2324.2083333333335</v>
      </c>
      <c r="I265" s="202">
        <f t="shared" si="63"/>
        <v>2343.2083333333335</v>
      </c>
      <c r="J265" s="202">
        <f t="shared" si="66"/>
        <v>2401.5083333333337</v>
      </c>
      <c r="K265" s="203">
        <f t="shared" si="67"/>
        <v>2403.2883333333334</v>
      </c>
    </row>
    <row r="266" spans="1:13" ht="21" customHeight="1" x14ac:dyDescent="0.2">
      <c r="A266" s="21"/>
      <c r="B266" s="204" t="s">
        <v>81</v>
      </c>
      <c r="C266" s="202">
        <f t="shared" si="60"/>
        <v>1678.3583333333336</v>
      </c>
      <c r="D266" s="202">
        <f t="shared" si="61"/>
        <v>1692.0583333333334</v>
      </c>
      <c r="E266" s="202">
        <f t="shared" si="64"/>
        <v>1734.1583333333335</v>
      </c>
      <c r="F266" s="203">
        <f t="shared" si="65"/>
        <v>1754.6583333333335</v>
      </c>
      <c r="G266" s="204" t="s">
        <v>96</v>
      </c>
      <c r="H266" s="202">
        <f t="shared" si="62"/>
        <v>2484.8033333333333</v>
      </c>
      <c r="I266" s="202">
        <f t="shared" si="63"/>
        <v>2505.1033333333335</v>
      </c>
      <c r="J266" s="202">
        <f t="shared" si="66"/>
        <v>2567.4033333333332</v>
      </c>
      <c r="K266" s="203">
        <f t="shared" si="67"/>
        <v>2569.1833333333334</v>
      </c>
    </row>
    <row r="267" spans="1:13" ht="21" customHeight="1" x14ac:dyDescent="0.2">
      <c r="A267" s="21"/>
      <c r="B267" s="204" t="s">
        <v>82</v>
      </c>
      <c r="C267" s="202">
        <f t="shared" si="60"/>
        <v>1742.8533333333335</v>
      </c>
      <c r="D267" s="202">
        <f t="shared" si="61"/>
        <v>1757.0533333333335</v>
      </c>
      <c r="E267" s="202">
        <f t="shared" si="64"/>
        <v>1800.7533333333333</v>
      </c>
      <c r="F267" s="203">
        <f t="shared" si="65"/>
        <v>1820.3633333333335</v>
      </c>
      <c r="G267" s="205" t="s">
        <v>97</v>
      </c>
      <c r="H267" s="207">
        <f t="shared" si="62"/>
        <v>2610.6033333333335</v>
      </c>
      <c r="I267" s="207">
        <f t="shared" si="63"/>
        <v>2631.9033333333332</v>
      </c>
      <c r="J267" s="207">
        <f t="shared" si="66"/>
        <v>2699.1833333333334</v>
      </c>
      <c r="K267" s="208">
        <f t="shared" si="67"/>
        <v>2699.1833333333334</v>
      </c>
      <c r="M267" s="89"/>
    </row>
    <row r="268" spans="1:13" ht="21" customHeight="1" x14ac:dyDescent="0.2">
      <c r="A268" s="21"/>
      <c r="B268" s="205" t="s">
        <v>83</v>
      </c>
      <c r="C268" s="207">
        <f t="shared" si="60"/>
        <v>1781.386666666667</v>
      </c>
      <c r="D268" s="207">
        <f t="shared" si="61"/>
        <v>1795.886666666667</v>
      </c>
      <c r="E268" s="207">
        <f t="shared" si="64"/>
        <v>1860.1966666666667</v>
      </c>
      <c r="F268" s="208">
        <f t="shared" si="65"/>
        <v>1860.1966666666667</v>
      </c>
      <c r="G268" s="21"/>
      <c r="H268" s="21"/>
      <c r="I268" s="21"/>
      <c r="J268" s="21"/>
      <c r="K268" s="213"/>
      <c r="M268" s="89"/>
    </row>
    <row r="269" spans="1:13" ht="21" customHeight="1" x14ac:dyDescent="0.2">
      <c r="A269" s="21"/>
      <c r="B269" s="21"/>
      <c r="C269" s="21"/>
      <c r="D269" s="21"/>
      <c r="E269" s="21"/>
      <c r="F269" s="21"/>
      <c r="G269" s="21"/>
      <c r="H269" s="21"/>
      <c r="I269" s="21"/>
      <c r="J269" s="21"/>
      <c r="M269" s="89"/>
    </row>
    <row r="270" spans="1:13" ht="21" customHeight="1" x14ac:dyDescent="0.2">
      <c r="A270" s="374" t="s">
        <v>368</v>
      </c>
      <c r="B270" s="390" t="s">
        <v>396</v>
      </c>
      <c r="C270" s="391"/>
      <c r="D270" s="391"/>
      <c r="E270" s="391"/>
      <c r="F270" s="391"/>
      <c r="G270" s="391"/>
      <c r="H270" s="391"/>
      <c r="I270" s="391"/>
      <c r="J270" s="391"/>
      <c r="M270" s="89"/>
    </row>
    <row r="271" spans="1:13" ht="21" customHeight="1" x14ac:dyDescent="0.2">
      <c r="A271" s="374"/>
      <c r="B271" s="390" t="s">
        <v>376</v>
      </c>
      <c r="C271" s="391"/>
      <c r="D271" s="391"/>
      <c r="E271" s="391"/>
      <c r="F271" s="391"/>
      <c r="G271" s="391"/>
      <c r="H271" s="391"/>
      <c r="I271" s="391"/>
      <c r="J271" s="391"/>
      <c r="M271" s="89"/>
    </row>
    <row r="272" spans="1:13" ht="21" customHeight="1" x14ac:dyDescent="0.2">
      <c r="A272" s="378" t="s">
        <v>397</v>
      </c>
      <c r="B272" s="378"/>
      <c r="C272" s="378"/>
      <c r="D272" s="378"/>
      <c r="E272" s="378"/>
      <c r="F272" s="378"/>
      <c r="G272" s="378"/>
      <c r="H272" s="378"/>
      <c r="I272" s="378"/>
      <c r="J272" s="378"/>
      <c r="M272" s="89"/>
    </row>
    <row r="273" spans="1:13" ht="21" customHeight="1" x14ac:dyDescent="0.2">
      <c r="M273" s="89"/>
    </row>
    <row r="274" spans="1:13" ht="21" customHeight="1" x14ac:dyDescent="0.2">
      <c r="A274" s="379" t="s">
        <v>65</v>
      </c>
      <c r="B274" s="381" t="s">
        <v>398</v>
      </c>
      <c r="C274" s="381"/>
      <c r="D274" s="382" t="s">
        <v>399</v>
      </c>
      <c r="F274" s="379" t="s">
        <v>47</v>
      </c>
      <c r="G274" s="384" t="s">
        <v>400</v>
      </c>
      <c r="H274" s="386"/>
      <c r="I274" s="379" t="s">
        <v>47</v>
      </c>
      <c r="J274" s="384" t="s">
        <v>400</v>
      </c>
      <c r="M274" s="89"/>
    </row>
    <row r="275" spans="1:13" ht="21" customHeight="1" x14ac:dyDescent="0.2">
      <c r="A275" s="380"/>
      <c r="B275" s="247" t="s">
        <v>401</v>
      </c>
      <c r="C275" s="247" t="s">
        <v>402</v>
      </c>
      <c r="D275" s="383"/>
      <c r="F275" s="380"/>
      <c r="G275" s="385"/>
      <c r="H275" s="386"/>
      <c r="I275" s="380"/>
      <c r="J275" s="385"/>
      <c r="M275" s="89"/>
    </row>
    <row r="276" spans="1:13" ht="21" customHeight="1" x14ac:dyDescent="0.2">
      <c r="A276" s="209" t="s">
        <v>69</v>
      </c>
      <c r="B276" s="201">
        <v>37.08</v>
      </c>
      <c r="C276" s="201">
        <f>D276-B276</f>
        <v>351.6</v>
      </c>
      <c r="D276" s="248">
        <f>32.39*12</f>
        <v>388.68</v>
      </c>
      <c r="F276" s="197" t="s">
        <v>69</v>
      </c>
      <c r="G276" s="249">
        <v>348</v>
      </c>
      <c r="H276" s="250"/>
      <c r="I276" s="197" t="s">
        <v>84</v>
      </c>
      <c r="J276" s="251">
        <v>276</v>
      </c>
      <c r="M276" s="89"/>
    </row>
    <row r="277" spans="1:13" ht="21" customHeight="1" x14ac:dyDescent="0.2">
      <c r="A277" s="204" t="s">
        <v>76</v>
      </c>
      <c r="B277" s="375">
        <v>44.76</v>
      </c>
      <c r="C277" s="375">
        <f>D277-B277</f>
        <v>426.84</v>
      </c>
      <c r="D277" s="376">
        <f>39.3*12</f>
        <v>471.59999999999997</v>
      </c>
      <c r="F277" s="204" t="s">
        <v>70</v>
      </c>
      <c r="G277" s="251">
        <v>348</v>
      </c>
      <c r="H277" s="250"/>
      <c r="I277" s="204" t="s">
        <v>85</v>
      </c>
      <c r="J277" s="251">
        <v>264</v>
      </c>
      <c r="M277" s="89"/>
    </row>
    <row r="278" spans="1:13" ht="21" customHeight="1" x14ac:dyDescent="0.2">
      <c r="A278" s="204" t="s">
        <v>78</v>
      </c>
      <c r="B278" s="375"/>
      <c r="C278" s="375"/>
      <c r="D278" s="376"/>
      <c r="F278" s="204" t="s">
        <v>71</v>
      </c>
      <c r="G278" s="251">
        <v>336</v>
      </c>
      <c r="H278" s="250"/>
      <c r="I278" s="204" t="s">
        <v>86</v>
      </c>
      <c r="J278" s="251">
        <v>240</v>
      </c>
      <c r="M278" s="89"/>
    </row>
    <row r="279" spans="1:13" ht="21" customHeight="1" x14ac:dyDescent="0.2">
      <c r="A279" s="204" t="s">
        <v>84</v>
      </c>
      <c r="B279" s="252">
        <v>52.08</v>
      </c>
      <c r="C279" s="252">
        <f>D279-B279</f>
        <v>497.51999999999992</v>
      </c>
      <c r="D279" s="251">
        <f>45.8*12</f>
        <v>549.59999999999991</v>
      </c>
      <c r="F279" s="204" t="s">
        <v>72</v>
      </c>
      <c r="G279" s="251">
        <v>324</v>
      </c>
      <c r="H279" s="250"/>
      <c r="I279" s="204" t="s">
        <v>87</v>
      </c>
      <c r="J279" s="251">
        <v>216</v>
      </c>
    </row>
    <row r="280" spans="1:13" ht="21" customHeight="1" x14ac:dyDescent="0.2">
      <c r="A280" s="204" t="s">
        <v>91</v>
      </c>
      <c r="B280" s="375">
        <v>59.4</v>
      </c>
      <c r="C280" s="375">
        <f>D280-B280</f>
        <v>563.4</v>
      </c>
      <c r="D280" s="376">
        <f>51.9*12</f>
        <v>622.79999999999995</v>
      </c>
      <c r="F280" s="204" t="s">
        <v>73</v>
      </c>
      <c r="G280" s="253">
        <v>312</v>
      </c>
      <c r="H280" s="250"/>
      <c r="I280" s="204" t="s">
        <v>88</v>
      </c>
      <c r="J280" s="253">
        <v>204</v>
      </c>
    </row>
    <row r="281" spans="1:13" ht="21" customHeight="1" x14ac:dyDescent="0.2">
      <c r="A281" s="205" t="s">
        <v>93</v>
      </c>
      <c r="B281" s="377"/>
      <c r="C281" s="377"/>
      <c r="D281" s="373"/>
      <c r="F281" s="197" t="s">
        <v>76</v>
      </c>
      <c r="G281" s="248">
        <v>324</v>
      </c>
      <c r="H281" s="250"/>
      <c r="I281" s="197" t="s">
        <v>91</v>
      </c>
      <c r="J281" s="248">
        <v>228</v>
      </c>
    </row>
    <row r="282" spans="1:13" ht="21" customHeight="1" x14ac:dyDescent="0.2">
      <c r="B282" s="109"/>
      <c r="C282" s="109"/>
      <c r="D282" s="109"/>
      <c r="F282" s="204" t="s">
        <v>77</v>
      </c>
      <c r="G282" s="251">
        <v>312</v>
      </c>
      <c r="H282" s="250"/>
      <c r="I282" s="204" t="s">
        <v>92</v>
      </c>
      <c r="J282" s="251">
        <v>192</v>
      </c>
    </row>
    <row r="283" spans="1:13" ht="21" customHeight="1" x14ac:dyDescent="0.2">
      <c r="A283" s="368" t="s">
        <v>403</v>
      </c>
      <c r="B283" s="370" t="s">
        <v>404</v>
      </c>
      <c r="C283" s="109"/>
      <c r="F283" s="204" t="s">
        <v>78</v>
      </c>
      <c r="G283" s="251">
        <v>288</v>
      </c>
      <c r="H283" s="250"/>
      <c r="I283" s="204" t="s">
        <v>93</v>
      </c>
      <c r="J283" s="251">
        <v>108</v>
      </c>
    </row>
    <row r="284" spans="1:13" ht="21" customHeight="1" x14ac:dyDescent="0.2">
      <c r="A284" s="369"/>
      <c r="B284" s="371"/>
      <c r="C284" s="109"/>
      <c r="F284" s="204" t="s">
        <v>79</v>
      </c>
      <c r="G284" s="251">
        <v>288</v>
      </c>
      <c r="H284" s="250"/>
      <c r="I284" s="204" t="s">
        <v>94</v>
      </c>
      <c r="J284" s="251">
        <v>72</v>
      </c>
    </row>
    <row r="285" spans="1:13" ht="21" customHeight="1" x14ac:dyDescent="0.2">
      <c r="A285" s="254" t="s">
        <v>405</v>
      </c>
      <c r="B285" s="251">
        <f>780.3+200</f>
        <v>980.3</v>
      </c>
      <c r="C285" s="109"/>
      <c r="D285" s="109"/>
      <c r="F285" s="204" t="s">
        <v>80</v>
      </c>
      <c r="G285" s="251">
        <v>276</v>
      </c>
      <c r="H285" s="250"/>
      <c r="I285" s="204" t="s">
        <v>95</v>
      </c>
      <c r="J285" s="251">
        <v>24</v>
      </c>
    </row>
    <row r="286" spans="1:13" ht="21" customHeight="1" x14ac:dyDescent="0.2">
      <c r="A286" s="255" t="s">
        <v>406</v>
      </c>
      <c r="B286" s="253">
        <f>1110.84+200</f>
        <v>1310.84</v>
      </c>
      <c r="C286" s="109"/>
      <c r="D286" s="109"/>
      <c r="F286" s="204" t="s">
        <v>81</v>
      </c>
      <c r="G286" s="251">
        <v>276</v>
      </c>
      <c r="H286" s="250"/>
      <c r="I286" s="205" t="s">
        <v>96</v>
      </c>
      <c r="J286" s="253">
        <v>24</v>
      </c>
    </row>
    <row r="287" spans="1:13" ht="21" customHeight="1" x14ac:dyDescent="0.2">
      <c r="B287" s="109"/>
      <c r="C287" s="109"/>
      <c r="D287" s="109"/>
      <c r="F287" s="205" t="s">
        <v>82</v>
      </c>
      <c r="G287" s="253">
        <v>264</v>
      </c>
    </row>
    <row r="288" spans="1:13" ht="21" customHeight="1" x14ac:dyDescent="0.2">
      <c r="A288" s="368" t="s">
        <v>65</v>
      </c>
      <c r="B288" s="370" t="s">
        <v>407</v>
      </c>
    </row>
    <row r="289" spans="1:10" ht="21" customHeight="1" x14ac:dyDescent="0.2">
      <c r="A289" s="369"/>
      <c r="B289" s="371"/>
    </row>
    <row r="290" spans="1:10" ht="21" customHeight="1" x14ac:dyDescent="0.2">
      <c r="A290" s="209" t="s">
        <v>69</v>
      </c>
      <c r="B290" s="372">
        <v>64.56</v>
      </c>
      <c r="E290" s="256"/>
    </row>
    <row r="291" spans="1:10" ht="21" customHeight="1" x14ac:dyDescent="0.2">
      <c r="A291" s="205" t="s">
        <v>76</v>
      </c>
      <c r="B291" s="373"/>
      <c r="C291" s="374" t="s">
        <v>368</v>
      </c>
      <c r="D291" s="194" t="s">
        <v>408</v>
      </c>
      <c r="J291" s="21"/>
    </row>
    <row r="292" spans="1:10" ht="21" customHeight="1" x14ac:dyDescent="0.2">
      <c r="C292" s="374"/>
      <c r="D292" s="194" t="s">
        <v>409</v>
      </c>
      <c r="J292" s="21"/>
    </row>
    <row r="293" spans="1:10" ht="21" customHeight="1" x14ac:dyDescent="0.2">
      <c r="C293" s="374"/>
      <c r="D293" s="194" t="s">
        <v>410</v>
      </c>
      <c r="J293" s="21"/>
    </row>
    <row r="294" spans="1:10" ht="21" customHeight="1" x14ac:dyDescent="0.2"/>
    <row r="295" spans="1:10" ht="21" customHeight="1" x14ac:dyDescent="0.2"/>
    <row r="297" spans="1:10" ht="24" customHeight="1" x14ac:dyDescent="0.2">
      <c r="B297" s="21"/>
      <c r="C297" s="257"/>
      <c r="D297" s="349" t="s">
        <v>411</v>
      </c>
      <c r="E297" s="350"/>
      <c r="F297" s="350"/>
      <c r="G297" s="350"/>
      <c r="H297" s="350"/>
      <c r="I297" s="351"/>
      <c r="J297" s="257"/>
    </row>
    <row r="298" spans="1:10" ht="24" customHeight="1" x14ac:dyDescent="0.2">
      <c r="B298" s="21"/>
      <c r="C298" s="257"/>
      <c r="D298" s="352" t="s">
        <v>412</v>
      </c>
      <c r="E298" s="353"/>
      <c r="F298" s="353"/>
      <c r="G298" s="353"/>
      <c r="H298" s="353"/>
      <c r="I298" s="354"/>
      <c r="J298" s="257"/>
    </row>
    <row r="299" spans="1:10" ht="36.75" customHeight="1" x14ac:dyDescent="0.2">
      <c r="C299" s="258"/>
      <c r="D299" s="358" t="s">
        <v>413</v>
      </c>
      <c r="E299" s="359"/>
      <c r="F299" s="359"/>
      <c r="G299" s="359"/>
      <c r="H299" s="259" t="s">
        <v>414</v>
      </c>
      <c r="I299" s="260" t="s">
        <v>415</v>
      </c>
      <c r="J299" s="21"/>
    </row>
    <row r="300" spans="1:10" ht="36" customHeight="1" x14ac:dyDescent="0.2">
      <c r="B300" s="258"/>
      <c r="C300" s="258"/>
      <c r="D300" s="361"/>
      <c r="E300" s="362"/>
      <c r="F300" s="362"/>
      <c r="G300" s="362"/>
      <c r="H300" s="261" t="s">
        <v>416</v>
      </c>
      <c r="I300" s="262" t="s">
        <v>417</v>
      </c>
      <c r="J300" s="21"/>
    </row>
    <row r="301" spans="1:10" ht="24" customHeight="1" x14ac:dyDescent="0.2">
      <c r="D301" s="263" t="s">
        <v>418</v>
      </c>
      <c r="E301" s="366" t="s">
        <v>419</v>
      </c>
      <c r="F301" s="367"/>
      <c r="G301" s="367"/>
      <c r="H301" s="264">
        <v>0.29499999999999998</v>
      </c>
      <c r="I301" s="265">
        <v>0.33500000000000002</v>
      </c>
      <c r="J301" s="21"/>
    </row>
    <row r="302" spans="1:10" ht="24" customHeight="1" x14ac:dyDescent="0.2">
      <c r="D302" s="266" t="s">
        <v>420</v>
      </c>
      <c r="E302" s="340" t="s">
        <v>421</v>
      </c>
      <c r="F302" s="339"/>
      <c r="G302" s="339"/>
      <c r="H302" s="267">
        <v>0.28599999999999998</v>
      </c>
      <c r="I302" s="268">
        <v>0.32600000000000001</v>
      </c>
      <c r="J302" s="21"/>
    </row>
    <row r="303" spans="1:10" ht="24" customHeight="1" x14ac:dyDescent="0.2">
      <c r="D303" s="266" t="s">
        <v>422</v>
      </c>
      <c r="E303" s="340" t="s">
        <v>423</v>
      </c>
      <c r="F303" s="339"/>
      <c r="G303" s="339"/>
      <c r="H303" s="267">
        <v>0.27600000000000002</v>
      </c>
      <c r="I303" s="268">
        <v>0.316</v>
      </c>
      <c r="J303" s="21"/>
    </row>
    <row r="304" spans="1:10" ht="24" customHeight="1" x14ac:dyDescent="0.2">
      <c r="D304" s="266" t="s">
        <v>424</v>
      </c>
      <c r="E304" s="340" t="s">
        <v>425</v>
      </c>
      <c r="F304" s="339"/>
      <c r="G304" s="339"/>
      <c r="H304" s="267">
        <v>0.27200000000000002</v>
      </c>
      <c r="I304" s="268">
        <v>0.312</v>
      </c>
      <c r="J304" s="21"/>
    </row>
    <row r="305" spans="2:11" ht="24" customHeight="1" x14ac:dyDescent="0.2">
      <c r="D305" s="266" t="s">
        <v>426</v>
      </c>
      <c r="E305" s="340" t="s">
        <v>427</v>
      </c>
      <c r="F305" s="339"/>
      <c r="G305" s="339"/>
      <c r="H305" s="267">
        <v>0.26900000000000002</v>
      </c>
      <c r="I305" s="268">
        <v>0.309</v>
      </c>
      <c r="J305" s="21"/>
    </row>
    <row r="306" spans="2:11" ht="24" customHeight="1" x14ac:dyDescent="0.2">
      <c r="D306" s="266" t="s">
        <v>428</v>
      </c>
      <c r="E306" s="340" t="s">
        <v>429</v>
      </c>
      <c r="F306" s="339"/>
      <c r="G306" s="339"/>
      <c r="H306" s="267">
        <v>0.27</v>
      </c>
      <c r="I306" s="268">
        <v>0.31</v>
      </c>
      <c r="J306" s="21"/>
    </row>
    <row r="307" spans="2:11" ht="24" customHeight="1" x14ac:dyDescent="0.2">
      <c r="D307" s="266" t="s">
        <v>430</v>
      </c>
      <c r="E307" s="340" t="s">
        <v>431</v>
      </c>
      <c r="F307" s="339"/>
      <c r="G307" s="339"/>
      <c r="H307" s="267">
        <v>0.27600000000000002</v>
      </c>
      <c r="I307" s="268">
        <v>0.316</v>
      </c>
      <c r="J307" s="21"/>
    </row>
    <row r="308" spans="2:11" ht="24" customHeight="1" x14ac:dyDescent="0.2">
      <c r="D308" s="266" t="s">
        <v>432</v>
      </c>
      <c r="E308" s="340" t="s">
        <v>433</v>
      </c>
      <c r="F308" s="339"/>
      <c r="G308" s="339"/>
      <c r="H308" s="267">
        <v>0.28799999999999998</v>
      </c>
      <c r="I308" s="268">
        <v>0.32800000000000001</v>
      </c>
      <c r="J308" s="21"/>
    </row>
    <row r="309" spans="2:11" ht="24" customHeight="1" x14ac:dyDescent="0.2">
      <c r="D309" s="269" t="s">
        <v>434</v>
      </c>
      <c r="E309" s="341" t="s">
        <v>435</v>
      </c>
      <c r="F309" s="337"/>
      <c r="G309" s="337"/>
      <c r="H309" s="270">
        <v>0.253</v>
      </c>
      <c r="I309" s="271">
        <v>0.29299999999999998</v>
      </c>
      <c r="J309" s="21"/>
    </row>
    <row r="310" spans="2:11" ht="24" customHeight="1" x14ac:dyDescent="0.2"/>
    <row r="311" spans="2:11" ht="24" customHeight="1" x14ac:dyDescent="0.2"/>
    <row r="312" spans="2:11" ht="24" customHeight="1" x14ac:dyDescent="0.2"/>
    <row r="313" spans="2:11" ht="24" customHeight="1" x14ac:dyDescent="0.2"/>
    <row r="314" spans="2:11" ht="24" customHeight="1" x14ac:dyDescent="0.2">
      <c r="B314" s="349" t="s">
        <v>411</v>
      </c>
      <c r="C314" s="350"/>
      <c r="D314" s="350"/>
      <c r="E314" s="350"/>
      <c r="F314" s="350"/>
      <c r="G314" s="350"/>
      <c r="H314" s="350"/>
      <c r="I314" s="350"/>
      <c r="J314" s="351"/>
    </row>
    <row r="315" spans="2:11" ht="24" customHeight="1" x14ac:dyDescent="0.2">
      <c r="B315" s="352" t="s">
        <v>412</v>
      </c>
      <c r="C315" s="353"/>
      <c r="D315" s="353"/>
      <c r="E315" s="353"/>
      <c r="F315" s="353"/>
      <c r="G315" s="353"/>
      <c r="H315" s="353"/>
      <c r="I315" s="353"/>
      <c r="J315" s="354"/>
    </row>
    <row r="316" spans="2:11" ht="24" customHeight="1" x14ac:dyDescent="0.2">
      <c r="B316" s="355" t="s">
        <v>436</v>
      </c>
      <c r="C316" s="356"/>
      <c r="D316" s="356"/>
      <c r="E316" s="356"/>
      <c r="F316" s="356"/>
      <c r="G316" s="356"/>
      <c r="H316" s="356"/>
      <c r="I316" s="356"/>
      <c r="J316" s="357"/>
    </row>
    <row r="317" spans="2:11" ht="24" customHeight="1" x14ac:dyDescent="0.2">
      <c r="B317" s="358" t="s">
        <v>437</v>
      </c>
      <c r="C317" s="359"/>
      <c r="D317" s="359"/>
      <c r="E317" s="360"/>
      <c r="F317" s="364" t="s">
        <v>438</v>
      </c>
      <c r="G317" s="364"/>
      <c r="H317" s="364"/>
      <c r="I317" s="364"/>
      <c r="J317" s="365"/>
      <c r="K317" s="6"/>
    </row>
    <row r="318" spans="2:11" ht="24" customHeight="1" x14ac:dyDescent="0.2">
      <c r="B318" s="361"/>
      <c r="C318" s="362"/>
      <c r="D318" s="362"/>
      <c r="E318" s="363"/>
      <c r="F318" s="272">
        <v>2020</v>
      </c>
      <c r="G318" s="272">
        <v>2021</v>
      </c>
      <c r="H318" s="272">
        <v>2022</v>
      </c>
      <c r="I318" s="272">
        <v>2023</v>
      </c>
      <c r="J318" s="273">
        <v>2024</v>
      </c>
      <c r="K318" s="6"/>
    </row>
    <row r="319" spans="2:11" ht="24" customHeight="1" x14ac:dyDescent="0.2">
      <c r="B319" s="263" t="s">
        <v>418</v>
      </c>
      <c r="C319" s="366" t="s">
        <v>419</v>
      </c>
      <c r="D319" s="367"/>
      <c r="E319" s="367"/>
      <c r="F319" s="274">
        <v>0.23</v>
      </c>
      <c r="G319" s="274">
        <v>0.28999999999999998</v>
      </c>
      <c r="H319" s="274">
        <v>0.33</v>
      </c>
      <c r="I319" s="274">
        <v>0.34</v>
      </c>
      <c r="J319" s="275">
        <v>0.35</v>
      </c>
      <c r="K319" s="6"/>
    </row>
    <row r="320" spans="2:11" ht="24" customHeight="1" x14ac:dyDescent="0.2">
      <c r="B320" s="266" t="s">
        <v>420</v>
      </c>
      <c r="C320" s="340" t="s">
        <v>421</v>
      </c>
      <c r="D320" s="339"/>
      <c r="E320" s="339"/>
      <c r="F320" s="276">
        <v>0.23</v>
      </c>
      <c r="G320" s="276">
        <v>0.28999999999999998</v>
      </c>
      <c r="H320" s="276">
        <v>0.33</v>
      </c>
      <c r="I320" s="276">
        <v>0.34</v>
      </c>
      <c r="J320" s="277">
        <v>0.35</v>
      </c>
      <c r="K320" s="6"/>
    </row>
    <row r="321" spans="2:11" ht="24" customHeight="1" x14ac:dyDescent="0.2">
      <c r="B321" s="266" t="s">
        <v>422</v>
      </c>
      <c r="C321" s="340" t="s">
        <v>423</v>
      </c>
      <c r="D321" s="339"/>
      <c r="E321" s="339"/>
      <c r="F321" s="276">
        <v>0.2</v>
      </c>
      <c r="G321" s="276">
        <v>0.25</v>
      </c>
      <c r="H321" s="276">
        <v>0.28000000000000003</v>
      </c>
      <c r="I321" s="276">
        <v>0.28999999999999998</v>
      </c>
      <c r="J321" s="277">
        <v>0.3</v>
      </c>
      <c r="K321" s="6"/>
    </row>
    <row r="322" spans="2:11" ht="24" customHeight="1" x14ac:dyDescent="0.2">
      <c r="B322" s="266" t="s">
        <v>424</v>
      </c>
      <c r="C322" s="340" t="s">
        <v>425</v>
      </c>
      <c r="D322" s="339"/>
      <c r="E322" s="339"/>
      <c r="F322" s="276">
        <v>0.19</v>
      </c>
      <c r="G322" s="276">
        <v>0.24</v>
      </c>
      <c r="H322" s="276">
        <v>0.26</v>
      </c>
      <c r="I322" s="276">
        <v>0.27</v>
      </c>
      <c r="J322" s="277">
        <v>0.28000000000000003</v>
      </c>
      <c r="K322" s="6"/>
    </row>
    <row r="323" spans="2:11" ht="24" customHeight="1" x14ac:dyDescent="0.2">
      <c r="B323" s="266" t="s">
        <v>426</v>
      </c>
      <c r="C323" s="340" t="s">
        <v>427</v>
      </c>
      <c r="D323" s="339"/>
      <c r="E323" s="339"/>
      <c r="F323" s="276">
        <v>0.17</v>
      </c>
      <c r="G323" s="276">
        <v>0.21</v>
      </c>
      <c r="H323" s="276">
        <v>0.24</v>
      </c>
      <c r="I323" s="276">
        <v>0.25</v>
      </c>
      <c r="J323" s="277">
        <v>0.26</v>
      </c>
      <c r="K323" s="6"/>
    </row>
    <row r="324" spans="2:11" ht="24" customHeight="1" x14ac:dyDescent="0.2">
      <c r="B324" s="266" t="s">
        <v>428</v>
      </c>
      <c r="C324" s="340" t="s">
        <v>429</v>
      </c>
      <c r="D324" s="339"/>
      <c r="E324" s="339"/>
      <c r="F324" s="276">
        <v>0.09</v>
      </c>
      <c r="G324" s="276">
        <v>0.16</v>
      </c>
      <c r="H324" s="276">
        <v>0.19</v>
      </c>
      <c r="I324" s="276">
        <v>0.21</v>
      </c>
      <c r="J324" s="277">
        <v>0.22</v>
      </c>
      <c r="K324" s="6"/>
    </row>
    <row r="325" spans="2:11" ht="24" customHeight="1" x14ac:dyDescent="0.2">
      <c r="B325" s="266" t="s">
        <v>430</v>
      </c>
      <c r="C325" s="340" t="s">
        <v>431</v>
      </c>
      <c r="D325" s="339"/>
      <c r="E325" s="339"/>
      <c r="F325" s="276">
        <v>7.0000000000000007E-2</v>
      </c>
      <c r="G325" s="276">
        <v>0.12</v>
      </c>
      <c r="H325" s="276">
        <v>0.14000000000000001</v>
      </c>
      <c r="I325" s="276">
        <v>0.15</v>
      </c>
      <c r="J325" s="277">
        <v>0.16</v>
      </c>
      <c r="K325" s="6"/>
    </row>
    <row r="326" spans="2:11" ht="24" customHeight="1" x14ac:dyDescent="0.2">
      <c r="B326" s="266" t="s">
        <v>432</v>
      </c>
      <c r="C326" s="340" t="s">
        <v>433</v>
      </c>
      <c r="D326" s="339"/>
      <c r="E326" s="339"/>
      <c r="F326" s="276">
        <v>0.03</v>
      </c>
      <c r="G326" s="276">
        <v>0.06</v>
      </c>
      <c r="H326" s="276">
        <v>0.08</v>
      </c>
      <c r="I326" s="276">
        <v>0.09</v>
      </c>
      <c r="J326" s="277">
        <v>0.1</v>
      </c>
      <c r="K326" s="6"/>
    </row>
    <row r="327" spans="2:11" ht="24" customHeight="1" x14ac:dyDescent="0.2">
      <c r="B327" s="269" t="s">
        <v>434</v>
      </c>
      <c r="C327" s="341" t="s">
        <v>435</v>
      </c>
      <c r="D327" s="337"/>
      <c r="E327" s="337"/>
      <c r="F327" s="278">
        <v>1.4999999999999999E-2</v>
      </c>
      <c r="G327" s="279">
        <v>0.03</v>
      </c>
      <c r="H327" s="279">
        <v>0.04</v>
      </c>
      <c r="I327" s="278">
        <v>4.4999999999999998E-2</v>
      </c>
      <c r="J327" s="280">
        <v>0.05</v>
      </c>
      <c r="K327" s="6"/>
    </row>
    <row r="328" spans="2:11" ht="24" customHeight="1" x14ac:dyDescent="0.2"/>
    <row r="329" spans="2:11" ht="24" customHeight="1" x14ac:dyDescent="0.2"/>
    <row r="330" spans="2:11" ht="24" customHeight="1" x14ac:dyDescent="0.2"/>
    <row r="331" spans="2:11" ht="24" customHeight="1" x14ac:dyDescent="0.2"/>
    <row r="332" spans="2:11" ht="24" customHeight="1" x14ac:dyDescent="0.2"/>
    <row r="333" spans="2:11" ht="24" customHeight="1" x14ac:dyDescent="0.2"/>
    <row r="334" spans="2:11" ht="48.75" customHeight="1" x14ac:dyDescent="0.2">
      <c r="D334" s="342" t="s">
        <v>439</v>
      </c>
      <c r="E334" s="343"/>
      <c r="F334" s="343"/>
      <c r="G334" s="343"/>
      <c r="H334" s="343"/>
      <c r="I334" s="344"/>
    </row>
    <row r="335" spans="2:11" ht="24" customHeight="1" x14ac:dyDescent="0.2">
      <c r="D335" s="345" t="s">
        <v>413</v>
      </c>
      <c r="E335" s="346"/>
      <c r="F335" s="346"/>
      <c r="G335" s="346"/>
      <c r="H335" s="346"/>
      <c r="I335" s="262" t="s">
        <v>440</v>
      </c>
    </row>
    <row r="336" spans="2:11" ht="24" customHeight="1" x14ac:dyDescent="0.2">
      <c r="D336" s="347" t="s">
        <v>441</v>
      </c>
      <c r="E336" s="348"/>
      <c r="F336" s="348"/>
      <c r="G336" s="348"/>
      <c r="H336" s="348"/>
      <c r="I336" s="265">
        <v>3.5000000000000003E-2</v>
      </c>
    </row>
    <row r="337" spans="4:9" ht="24" customHeight="1" x14ac:dyDescent="0.2">
      <c r="D337" s="338" t="s">
        <v>442</v>
      </c>
      <c r="E337" s="339"/>
      <c r="F337" s="339"/>
      <c r="G337" s="339"/>
      <c r="H337" s="339"/>
      <c r="I337" s="268">
        <v>2.9000000000000001E-2</v>
      </c>
    </row>
    <row r="338" spans="4:9" ht="24" customHeight="1" x14ac:dyDescent="0.2">
      <c r="D338" s="338" t="s">
        <v>443</v>
      </c>
      <c r="E338" s="339"/>
      <c r="F338" s="339"/>
      <c r="G338" s="339"/>
      <c r="H338" s="339"/>
      <c r="I338" s="268">
        <v>2.4E-2</v>
      </c>
    </row>
    <row r="339" spans="4:9" ht="24" customHeight="1" x14ac:dyDescent="0.2">
      <c r="D339" s="338" t="s">
        <v>444</v>
      </c>
      <c r="E339" s="339"/>
      <c r="F339" s="339"/>
      <c r="G339" s="339"/>
      <c r="H339" s="339"/>
      <c r="I339" s="268">
        <v>1.7999999999999999E-2</v>
      </c>
    </row>
    <row r="340" spans="4:9" ht="24" customHeight="1" x14ac:dyDescent="0.2">
      <c r="D340" s="338" t="s">
        <v>445</v>
      </c>
      <c r="E340" s="339"/>
      <c r="F340" s="339"/>
      <c r="G340" s="339"/>
      <c r="H340" s="339"/>
      <c r="I340" s="268">
        <v>1.6E-2</v>
      </c>
    </row>
    <row r="341" spans="4:9" ht="24" customHeight="1" x14ac:dyDescent="0.2">
      <c r="D341" s="338" t="s">
        <v>446</v>
      </c>
      <c r="E341" s="339"/>
      <c r="F341" s="339"/>
      <c r="G341" s="339"/>
      <c r="H341" s="339"/>
      <c r="I341" s="268">
        <v>0.01</v>
      </c>
    </row>
    <row r="342" spans="4:9" ht="24" customHeight="1" x14ac:dyDescent="0.2">
      <c r="D342" s="338" t="s">
        <v>447</v>
      </c>
      <c r="E342" s="339"/>
      <c r="F342" s="339"/>
      <c r="G342" s="339"/>
      <c r="H342" s="339"/>
      <c r="I342" s="268">
        <v>5.0000000000000001E-3</v>
      </c>
    </row>
    <row r="343" spans="4:9" ht="24" customHeight="1" x14ac:dyDescent="0.2">
      <c r="D343" s="338" t="s">
        <v>448</v>
      </c>
      <c r="E343" s="339"/>
      <c r="F343" s="339"/>
      <c r="G343" s="339"/>
      <c r="H343" s="339"/>
      <c r="I343" s="268">
        <v>3.0000000000000001E-3</v>
      </c>
    </row>
    <row r="344" spans="4:9" ht="24" customHeight="1" x14ac:dyDescent="0.2">
      <c r="D344" s="336" t="s">
        <v>449</v>
      </c>
      <c r="E344" s="337"/>
      <c r="F344" s="337"/>
      <c r="G344" s="337"/>
      <c r="H344" s="337"/>
      <c r="I344" s="271">
        <v>2.5000000000000001E-3</v>
      </c>
    </row>
    <row r="345" spans="4:9" ht="24" customHeight="1" x14ac:dyDescent="0.2"/>
    <row r="346" spans="4:9" ht="24" customHeight="1" x14ac:dyDescent="0.2"/>
  </sheetData>
  <mergeCells count="153">
    <mergeCell ref="B25:B26"/>
    <mergeCell ref="C25:E25"/>
    <mergeCell ref="G25:G26"/>
    <mergeCell ref="H25:J25"/>
    <mergeCell ref="D26:E26"/>
    <mergeCell ref="I26:J26"/>
    <mergeCell ref="A1:J1"/>
    <mergeCell ref="A19:A21"/>
    <mergeCell ref="B19:J19"/>
    <mergeCell ref="B20:J20"/>
    <mergeCell ref="B21:J21"/>
    <mergeCell ref="A23:J23"/>
    <mergeCell ref="B63:J63"/>
    <mergeCell ref="B65:B66"/>
    <mergeCell ref="C65:E65"/>
    <mergeCell ref="G65:G66"/>
    <mergeCell ref="H65:J65"/>
    <mergeCell ref="D66:E66"/>
    <mergeCell ref="I66:J66"/>
    <mergeCell ref="A40:A41"/>
    <mergeCell ref="B40:J40"/>
    <mergeCell ref="B41:J41"/>
    <mergeCell ref="A42:J42"/>
    <mergeCell ref="A60:A61"/>
    <mergeCell ref="B60:J60"/>
    <mergeCell ref="B61:J61"/>
    <mergeCell ref="A82:A83"/>
    <mergeCell ref="B82:J82"/>
    <mergeCell ref="B83:J83"/>
    <mergeCell ref="B85:J85"/>
    <mergeCell ref="B87:B88"/>
    <mergeCell ref="C87:D87"/>
    <mergeCell ref="E87:F87"/>
    <mergeCell ref="G87:G88"/>
    <mergeCell ref="H87:I87"/>
    <mergeCell ref="J87:K87"/>
    <mergeCell ref="B124:J124"/>
    <mergeCell ref="B126:J126"/>
    <mergeCell ref="B128:B129"/>
    <mergeCell ref="C128:E128"/>
    <mergeCell ref="G128:G129"/>
    <mergeCell ref="H128:J128"/>
    <mergeCell ref="D129:E129"/>
    <mergeCell ref="I129:J129"/>
    <mergeCell ref="B105:J105"/>
    <mergeCell ref="B107:B108"/>
    <mergeCell ref="C107:E107"/>
    <mergeCell ref="G107:G108"/>
    <mergeCell ref="H107:J107"/>
    <mergeCell ref="D108:E108"/>
    <mergeCell ref="I108:J108"/>
    <mergeCell ref="B166:J166"/>
    <mergeCell ref="B168:J168"/>
    <mergeCell ref="B170:B171"/>
    <mergeCell ref="C170:E170"/>
    <mergeCell ref="G170:G171"/>
    <mergeCell ref="H170:J170"/>
    <mergeCell ref="D171:E171"/>
    <mergeCell ref="I171:J171"/>
    <mergeCell ref="B145:J145"/>
    <mergeCell ref="B147:J147"/>
    <mergeCell ref="B149:B150"/>
    <mergeCell ref="C149:E149"/>
    <mergeCell ref="G149:G150"/>
    <mergeCell ref="H149:J149"/>
    <mergeCell ref="D150:E150"/>
    <mergeCell ref="I150:J150"/>
    <mergeCell ref="A187:A188"/>
    <mergeCell ref="B187:J187"/>
    <mergeCell ref="B188:J188"/>
    <mergeCell ref="B190:J190"/>
    <mergeCell ref="B192:B193"/>
    <mergeCell ref="C192:D192"/>
    <mergeCell ref="E192:F192"/>
    <mergeCell ref="G192:G193"/>
    <mergeCell ref="H192:I192"/>
    <mergeCell ref="B251:J251"/>
    <mergeCell ref="B253:B254"/>
    <mergeCell ref="C253:F253"/>
    <mergeCell ref="G253:G254"/>
    <mergeCell ref="H253:K253"/>
    <mergeCell ref="A270:A271"/>
    <mergeCell ref="B270:J270"/>
    <mergeCell ref="B271:J271"/>
    <mergeCell ref="B209:J209"/>
    <mergeCell ref="B211:B212"/>
    <mergeCell ref="C211:E211"/>
    <mergeCell ref="G211:G212"/>
    <mergeCell ref="H211:J211"/>
    <mergeCell ref="A228:A229"/>
    <mergeCell ref="B228:J228"/>
    <mergeCell ref="B229:J229"/>
    <mergeCell ref="B231:J231"/>
    <mergeCell ref="B233:B234"/>
    <mergeCell ref="E233:E234"/>
    <mergeCell ref="A272:J272"/>
    <mergeCell ref="A274:A275"/>
    <mergeCell ref="B274:C274"/>
    <mergeCell ref="D274:D275"/>
    <mergeCell ref="F274:F275"/>
    <mergeCell ref="G274:G275"/>
    <mergeCell ref="H274:H275"/>
    <mergeCell ref="I274:I275"/>
    <mergeCell ref="J274:J275"/>
    <mergeCell ref="A283:A284"/>
    <mergeCell ref="B283:B284"/>
    <mergeCell ref="A288:A289"/>
    <mergeCell ref="B288:B289"/>
    <mergeCell ref="B290:B291"/>
    <mergeCell ref="C291:C293"/>
    <mergeCell ref="B277:B278"/>
    <mergeCell ref="C277:C278"/>
    <mergeCell ref="D277:D278"/>
    <mergeCell ref="B280:B281"/>
    <mergeCell ref="C280:C281"/>
    <mergeCell ref="D280:D281"/>
    <mergeCell ref="E304:G304"/>
    <mergeCell ref="E305:G305"/>
    <mergeCell ref="E306:G306"/>
    <mergeCell ref="E307:G307"/>
    <mergeCell ref="E308:G308"/>
    <mergeCell ref="E309:G309"/>
    <mergeCell ref="D297:I297"/>
    <mergeCell ref="D298:I298"/>
    <mergeCell ref="D299:G300"/>
    <mergeCell ref="E301:G301"/>
    <mergeCell ref="E302:G302"/>
    <mergeCell ref="E303:G303"/>
    <mergeCell ref="C320:E320"/>
    <mergeCell ref="C321:E321"/>
    <mergeCell ref="C322:E322"/>
    <mergeCell ref="C323:E323"/>
    <mergeCell ref="C324:E324"/>
    <mergeCell ref="C325:E325"/>
    <mergeCell ref="B314:J314"/>
    <mergeCell ref="B315:J315"/>
    <mergeCell ref="B316:J316"/>
    <mergeCell ref="B317:E318"/>
    <mergeCell ref="F317:J317"/>
    <mergeCell ref="C319:E319"/>
    <mergeCell ref="D344:H344"/>
    <mergeCell ref="D338:H338"/>
    <mergeCell ref="D339:H339"/>
    <mergeCell ref="D340:H340"/>
    <mergeCell ref="D341:H341"/>
    <mergeCell ref="D342:H342"/>
    <mergeCell ref="D343:H343"/>
    <mergeCell ref="C326:E326"/>
    <mergeCell ref="C327:E327"/>
    <mergeCell ref="D334:I334"/>
    <mergeCell ref="D335:H335"/>
    <mergeCell ref="D336:H336"/>
    <mergeCell ref="D337:H337"/>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4"/>
  <sheetViews>
    <sheetView zoomScale="140" zoomScaleNormal="140" workbookViewId="0">
      <pane ySplit="1" topLeftCell="A2" activePane="bottomLeft" state="frozen"/>
      <selection pane="bottomLeft" activeCell="N6" sqref="N6"/>
    </sheetView>
  </sheetViews>
  <sheetFormatPr defaultRowHeight="21" customHeight="1" x14ac:dyDescent="0.2"/>
  <cols>
    <col min="1" max="1" width="2.5703125" customWidth="1"/>
    <col min="2" max="2" width="21" customWidth="1"/>
    <col min="3" max="3" width="9.7109375" customWidth="1"/>
    <col min="4" max="5" width="5.5703125" style="302" customWidth="1"/>
    <col min="6" max="6" width="3.5703125" style="302" customWidth="1"/>
    <col min="7" max="7" width="12" style="88" hidden="1" customWidth="1"/>
    <col min="8" max="8" width="3.5703125" style="88" customWidth="1"/>
    <col min="9" max="9" width="11.5703125" customWidth="1"/>
    <col min="10" max="11" width="9.140625" hidden="1" customWidth="1"/>
    <col min="12" max="12" width="11" hidden="1" customWidth="1"/>
    <col min="13" max="13" width="9.140625" hidden="1" customWidth="1"/>
    <col min="14" max="14" width="11.140625" customWidth="1"/>
    <col min="15" max="15" width="9.140625" customWidth="1"/>
    <col min="16" max="17" width="7.85546875" hidden="1" customWidth="1"/>
    <col min="18" max="18" width="11.140625" hidden="1" customWidth="1"/>
    <col min="19" max="19" width="7.85546875" hidden="1" customWidth="1"/>
    <col min="20" max="20" width="9.28515625" customWidth="1"/>
    <col min="21" max="21" width="11.7109375" customWidth="1"/>
    <col min="22" max="22" width="11.5703125" style="99" customWidth="1"/>
    <col min="23" max="24" width="9.140625" hidden="1" customWidth="1"/>
    <col min="25" max="25" width="11" customWidth="1"/>
    <col min="26" max="26" width="10.42578125" customWidth="1"/>
    <col min="27" max="27" width="13.140625" customWidth="1"/>
    <col min="28" max="28" width="11" customWidth="1"/>
    <col min="29" max="29" width="12.7109375" bestFit="1" customWidth="1"/>
    <col min="30" max="30" width="24" bestFit="1" customWidth="1"/>
    <col min="31" max="31" width="12.140625" bestFit="1" customWidth="1"/>
    <col min="32" max="32" width="9.42578125" bestFit="1" customWidth="1"/>
    <col min="33" max="33" width="10.5703125" bestFit="1" customWidth="1"/>
    <col min="34" max="34" width="11.28515625" customWidth="1"/>
  </cols>
  <sheetData>
    <row r="1" spans="1:29" ht="53.25" customHeight="1" x14ac:dyDescent="0.2">
      <c r="A1" s="8"/>
      <c r="B1" s="80" t="s">
        <v>161</v>
      </c>
      <c r="C1" s="80" t="s">
        <v>162</v>
      </c>
      <c r="D1" s="295" t="s">
        <v>163</v>
      </c>
      <c r="E1" s="295" t="s">
        <v>164</v>
      </c>
      <c r="F1" s="295" t="s">
        <v>165</v>
      </c>
      <c r="G1" s="295" t="s">
        <v>166</v>
      </c>
      <c r="H1" s="295" t="s">
        <v>167</v>
      </c>
      <c r="I1" s="80" t="s">
        <v>168</v>
      </c>
      <c r="J1" s="80" t="s">
        <v>169</v>
      </c>
      <c r="K1" s="80" t="s">
        <v>170</v>
      </c>
      <c r="L1" s="80" t="s">
        <v>171</v>
      </c>
      <c r="M1" s="80" t="s">
        <v>172</v>
      </c>
      <c r="N1" s="80" t="s">
        <v>457</v>
      </c>
      <c r="O1" s="80" t="s">
        <v>173</v>
      </c>
      <c r="P1" s="80" t="s">
        <v>486</v>
      </c>
      <c r="Q1" s="80" t="s">
        <v>487</v>
      </c>
      <c r="R1" s="80" t="s">
        <v>488</v>
      </c>
      <c r="S1" s="80" t="s">
        <v>489</v>
      </c>
      <c r="T1" s="80" t="s">
        <v>485</v>
      </c>
      <c r="U1" s="80" t="s">
        <v>174</v>
      </c>
      <c r="V1" s="81" t="s">
        <v>175</v>
      </c>
      <c r="W1" s="80" t="s">
        <v>176</v>
      </c>
      <c r="X1" s="80" t="s">
        <v>177</v>
      </c>
      <c r="Y1" s="80" t="s">
        <v>178</v>
      </c>
      <c r="Z1" s="80" t="s">
        <v>179</v>
      </c>
      <c r="AA1" s="80" t="s">
        <v>142</v>
      </c>
      <c r="AB1" s="80" t="s">
        <v>180</v>
      </c>
    </row>
    <row r="2" spans="1:29" ht="30" customHeight="1" x14ac:dyDescent="0.2">
      <c r="A2" s="404" t="s">
        <v>181</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row>
    <row r="3" spans="1:29" s="23" customFormat="1" ht="21" customHeight="1" x14ac:dyDescent="0.25">
      <c r="A3" s="21"/>
      <c r="B3" s="21" t="s">
        <v>252</v>
      </c>
      <c r="C3" s="21" t="s">
        <v>455</v>
      </c>
      <c r="D3" s="296" t="s">
        <v>40</v>
      </c>
      <c r="E3" s="296" t="s">
        <v>40</v>
      </c>
      <c r="F3" s="296">
        <v>36</v>
      </c>
      <c r="G3" s="297">
        <f>IF(D3="a",Tabelle!$E$213,IF(D3="b1",Tabelle!$E$219,IF(D3="b3",Tabelle!$E$221,IF(D3="c",Tabelle!$J$213,IF(D3="d1",Tabelle!$J$219,IF(D3="d3",Tabelle!$J$221,))))))</f>
        <v>23212.349999999995</v>
      </c>
      <c r="H3" s="296">
        <v>12</v>
      </c>
      <c r="I3" s="285">
        <f t="shared" ref="I3:I48" si="0">G3/36*F3/12*H3</f>
        <v>23212.35</v>
      </c>
      <c r="J3" s="285">
        <f>IF($E3="a1",Tabelle!$E$213,IF($E3="a2",Tabelle!$E$214,IF($E3="a3",Tabelle!$E$215,IF($E3="a4",Tabelle!$E$216,IF($E3="a5",Tabelle!$E$217,IF($E3="a6",Tabelle!$E$218,))))))</f>
        <v>0</v>
      </c>
      <c r="K3" s="285">
        <f>IF($E3="b1",Tabelle!$E$219,IF($E3="b2",Tabelle!$E$220,IF($E3="b3",Tabelle!$E$221,IF($E3="b4",Tabelle!$E$222,IF($E3="b5",Tabelle!$E$223,IF($E3="b6",Tabelle!$E$224,IF($E3="b7",Tabelle!$C$225,IF($E3="b8",Tabelle!$C$226,))))))))</f>
        <v>0</v>
      </c>
      <c r="L3" s="285">
        <f>IF($E3="c1",Tabelle!$J$213,IF($E3="c2",Tabelle!$J$214,IF($E3="c3",Tabelle!$J$215,IF($E3="c4",Tabelle!$J$216,IF($E3="c5",Tabelle!$J$217,IF($E3="c6",Tabelle!$J$218,))))))</f>
        <v>0</v>
      </c>
      <c r="M3" s="285">
        <f>IF($E3="d1",Tabelle!$J$219,IF($E3="d2",Tabelle!$J$220,IF($E3="d3",Tabelle!$J$221,IF($E3="d4",Tabelle!$J$222,IF($E3="d5",Tabelle!$J$223,IF($E3="d6",Tabelle!$J$224,IF($E3="d7",Tabelle!$J$225,)))))))</f>
        <v>23212.349999999995</v>
      </c>
      <c r="N3" s="285">
        <f t="shared" ref="N3:N48" si="1">(SUM(J3:M3)-G3)/36*F3/12*H3</f>
        <v>0</v>
      </c>
      <c r="O3" s="285"/>
      <c r="P3" s="285">
        <f>IF($E3="a1",Tabelle!$C$235,IF($E3="a2",Tabelle!$C$236,IF($E3="a3",Tabelle!$C$237,IF($E3="a4",Tabelle!$C$238,IF($E3="a5",Tabelle!$C$239,IF($E3="a6",Tabelle!$C$240,))))))</f>
        <v>0</v>
      </c>
      <c r="Q3" s="285">
        <f>IF($E3="b1",Tabelle!$C$241,IF($E3="b2",Tabelle!$C$242,IF($E3="b3",Tabelle!$C$243,IF($E3="b4",Tabelle!$C$244,IF($E3="b5",Tabelle!$C$245,IF($E3="b6",Tabelle!$C$246,IF($E3="b7",Tabelle!$C$247,IF($E3="b8",Tabelle!$C$248,))))))))</f>
        <v>0</v>
      </c>
      <c r="R3" s="285">
        <f>IF($E3="c1",Tabelle!$F$235,IF($E3="c2",Tabelle!$F$236,IF($E3="c3",Tabelle!$F$237,IF($E3="c4",Tabelle!$F$238,IF($E3="c5",Tabelle!$F$239,IF($E3="c6",Tabelle!$F$240,))))))</f>
        <v>0</v>
      </c>
      <c r="S3" s="285">
        <f>IF($E3="d1",Tabelle!$F$241,IF($E3="d2",Tabelle!$F$242,IF($E3="d3",Tabelle!$F$243,IF($E3="d4",Tabelle!$F$244,IF($E3="d5",Tabelle!$F$245,IF($E3="d6",Tabelle!$F$246,IF($E3="d7",Tabelle!$F$247,)))))))</f>
        <v>116.06174999999998</v>
      </c>
      <c r="T3" s="285">
        <f t="shared" ref="T3:T48" si="2">SUM(P3:S3)/12*H3/36*F3</f>
        <v>116.06174999999998</v>
      </c>
      <c r="U3" s="285">
        <f t="shared" ref="U3:U48" si="3">(I3+N3+O3+T3)/12</f>
        <v>1944.0343124999999</v>
      </c>
      <c r="V3" s="285"/>
      <c r="W3" s="285">
        <f>IF($D3="A",Tabelle!$B$276,IF(OR($D3="B1",$D3="B3"),Tabelle!$B$277,IF($D3="C",Tabelle!$B$279,IF(OR($D3="D1",$D3="d3"),Tabelle!$B$280,))))</f>
        <v>59.4</v>
      </c>
      <c r="X3" s="285">
        <f>IF($D3="A",Tabelle!$C$276,IF(OR($D3="B1",$D3="B3"),Tabelle!$C$277,IF($D3="C",Tabelle!$C$279,IF(OR($D3="D1",$D3="d3"),Tabelle!$C$280,))))</f>
        <v>563.4</v>
      </c>
      <c r="Y3" s="285">
        <f t="shared" ref="Y3:Y48" si="4">W3/36*$F3/12*H3</f>
        <v>59.400000000000006</v>
      </c>
      <c r="Z3" s="285">
        <f t="shared" ref="Z3:Z48" si="5">X3/36*$F3/12*H3</f>
        <v>563.4</v>
      </c>
      <c r="AA3" s="285">
        <f t="shared" ref="AA3:AA48" si="6">I3+N3+O3+T3+U3+V3+Y3+Z3</f>
        <v>25895.246062500002</v>
      </c>
      <c r="AB3" s="285">
        <f t="shared" ref="AB3:AB48" si="7">(I3+N3)*0.015/12*13</f>
        <v>377.2006874999999</v>
      </c>
      <c r="AC3" s="87"/>
    </row>
    <row r="4" spans="1:29" s="23" customFormat="1" ht="21" customHeight="1" x14ac:dyDescent="0.25">
      <c r="A4" s="21"/>
      <c r="B4" s="21" t="s">
        <v>201</v>
      </c>
      <c r="C4" s="21" t="s">
        <v>476</v>
      </c>
      <c r="D4" s="296" t="s">
        <v>68</v>
      </c>
      <c r="E4" s="296" t="s">
        <v>22</v>
      </c>
      <c r="F4" s="296">
        <v>36</v>
      </c>
      <c r="G4" s="297">
        <f>IF(D4="a",Tabelle!$E$213,IF(D4="b1",Tabelle!$E$219,IF(D4="b3",Tabelle!$E$221,IF(D4="c",Tabelle!$J$213,IF(D4="d1",Tabelle!$J$219,IF(D4="d3",Tabelle!$J$221,))))))</f>
        <v>18044.370000000003</v>
      </c>
      <c r="H4" s="296">
        <v>12</v>
      </c>
      <c r="I4" s="285">
        <f t="shared" si="0"/>
        <v>18044.370000000003</v>
      </c>
      <c r="J4" s="285">
        <f>IF($E4="a1",Tabelle!$E$213,IF($E4="a2",Tabelle!$E$214,IF($E4="a3",Tabelle!$E$215,IF($E4="a4",Tabelle!$E$216,IF($E4="a5",Tabelle!$E$217,IF($E4="a6",Tabelle!$E$218,))))))</f>
        <v>18653.28</v>
      </c>
      <c r="K4" s="285">
        <f>IF($E4="b1",Tabelle!$E$219,IF($E4="b2",Tabelle!$E$220,IF($E4="b3",Tabelle!$E$221,IF($E4="b4",Tabelle!$E$222,IF($E4="b5",Tabelle!$E$223,IF($E4="b6",Tabelle!$E$224,IF($E4="b7",Tabelle!$C$225,IF($E4="b8",Tabelle!$C$226,))))))))</f>
        <v>0</v>
      </c>
      <c r="L4" s="285">
        <f>IF($E4="c1",Tabelle!$J$213,IF($E4="c2",Tabelle!$J$214,IF($E4="c3",Tabelle!$J$215,IF($E4="c4",Tabelle!$J$216,IF($E4="c5",Tabelle!$J$217,IF($E4="c6",Tabelle!$J$218,))))))</f>
        <v>0</v>
      </c>
      <c r="M4" s="285">
        <f>IF($E4="d1",Tabelle!$J$219,IF($E4="d2",Tabelle!$J$220,IF($E4="d3",Tabelle!$J$221,IF($E4="d4",Tabelle!$J$222,IF($E4="d5",Tabelle!$J$223,IF($E4="d6",Tabelle!$J$224,IF($E4="d7",Tabelle!$J$225,)))))))</f>
        <v>0</v>
      </c>
      <c r="N4" s="285">
        <f t="shared" ref="N4:N11" si="8">(SUM(J4:M4)-G4)/36*F4/12*H4</f>
        <v>608.90999999999622</v>
      </c>
      <c r="O4" s="285"/>
      <c r="P4" s="285">
        <f>IF($E4="a1",Tabelle!$C$235,IF($E4="a2",Tabelle!$C$236,IF($E4="a3",Tabelle!$C$237,IF($E4="a4",Tabelle!$C$238,IF($E4="a5",Tabelle!$C$239,IF($E4="a6",Tabelle!$C$240,))))))</f>
        <v>93.26639999999999</v>
      </c>
      <c r="Q4" s="285">
        <f>IF($E4="b1",Tabelle!$C$241,IF($E4="b2",Tabelle!$C$242,IF($E4="b3",Tabelle!$C$243,IF($E4="b4",Tabelle!$C$244,IF($E4="b5",Tabelle!$C$245,IF($E4="b6",Tabelle!$C$246,IF($E4="b7",Tabelle!$C$247,IF($E4="b8",Tabelle!$C$248,))))))))</f>
        <v>0</v>
      </c>
      <c r="R4" s="285">
        <f>IF($E4="c1",Tabelle!$F$235,IF($E4="c2",Tabelle!$F$236,IF($E4="c3",Tabelle!$F$237,IF($E4="c4",Tabelle!$F$238,IF($E4="c5",Tabelle!$F$239,IF($E4="c6",Tabelle!$F$240,))))))</f>
        <v>0</v>
      </c>
      <c r="S4" s="285">
        <f>IF($E4="d1",Tabelle!$F$241,IF($E4="d2",Tabelle!$F$242,IF($E4="d3",Tabelle!$F$243,IF($E4="d4",Tabelle!$F$244,IF($E4="d5",Tabelle!$F$245,IF($E4="d6",Tabelle!$F$246,IF($E4="d7",Tabelle!$F$247,)))))))</f>
        <v>0</v>
      </c>
      <c r="T4" s="285">
        <f t="shared" si="2"/>
        <v>93.26639999999999</v>
      </c>
      <c r="U4" s="285">
        <f t="shared" si="3"/>
        <v>1562.2121999999999</v>
      </c>
      <c r="V4" s="285">
        <f>Tabelle!$B$290/12*H4/36*F4</f>
        <v>64.56</v>
      </c>
      <c r="W4" s="285">
        <f>IF($D4="A",Tabelle!$B$276,IF(OR($D4="B1",$D4="B3"),Tabelle!$B$277,IF($D4="C",Tabelle!$B$279,IF(OR($D4="D1",$D4="d3"),Tabelle!$B$280,))))</f>
        <v>37.08</v>
      </c>
      <c r="X4" s="285">
        <f>IF($D4="A",Tabelle!$C$276,IF(OR($D4="B1",$D4="B3"),Tabelle!$C$277,IF($D4="C",Tabelle!$C$279,IF(OR($D4="D1",$D4="d3"),Tabelle!$C$280,))))</f>
        <v>351.6</v>
      </c>
      <c r="Y4" s="285">
        <f t="shared" si="4"/>
        <v>37.08</v>
      </c>
      <c r="Z4" s="285">
        <f t="shared" si="5"/>
        <v>351.6</v>
      </c>
      <c r="AA4" s="285">
        <f t="shared" si="6"/>
        <v>20761.998600000003</v>
      </c>
      <c r="AB4" s="285">
        <f t="shared" si="7"/>
        <v>303.11579999999998</v>
      </c>
      <c r="AC4" s="87"/>
    </row>
    <row r="5" spans="1:29" s="23" customFormat="1" ht="21" customHeight="1" x14ac:dyDescent="0.25">
      <c r="A5" s="21"/>
      <c r="B5" s="21" t="s">
        <v>202</v>
      </c>
      <c r="C5" s="21" t="s">
        <v>476</v>
      </c>
      <c r="D5" s="296" t="s">
        <v>68</v>
      </c>
      <c r="E5" s="296" t="s">
        <v>21</v>
      </c>
      <c r="F5" s="296">
        <v>36</v>
      </c>
      <c r="G5" s="297">
        <f>IF(D5="a",Tabelle!$E$213,IF(D5="b1",Tabelle!$E$219,IF(D5="b3",Tabelle!$E$221,IF(D5="c",Tabelle!$J$213,IF(D5="d1",Tabelle!$J$219,IF(D5="d3",Tabelle!$J$221,))))))</f>
        <v>18044.370000000003</v>
      </c>
      <c r="H5" s="296">
        <v>12</v>
      </c>
      <c r="I5" s="285">
        <f t="shared" si="0"/>
        <v>18044.370000000003</v>
      </c>
      <c r="J5" s="285">
        <f>IF($E5="a1",Tabelle!$E$213,IF($E5="a2",Tabelle!$E$214,IF($E5="a3",Tabelle!$E$215,IF($E5="a4",Tabelle!$E$216,IF($E5="a5",Tabelle!$E$217,IF($E5="a6",Tabelle!$E$218,))))))</f>
        <v>18283.310000000001</v>
      </c>
      <c r="K5" s="285">
        <f>IF($E5="b1",Tabelle!$E$219,IF($E5="b2",Tabelle!$E$220,IF($E5="b3",Tabelle!$E$221,IF($E5="b4",Tabelle!$E$222,IF($E5="b5",Tabelle!$E$223,IF($E5="b6",Tabelle!$E$224,IF($E5="b7",Tabelle!$C$225,IF($E5="b8",Tabelle!$C$226,))))))))</f>
        <v>0</v>
      </c>
      <c r="L5" s="285">
        <f>IF($E5="c1",Tabelle!$J$213,IF($E5="c2",Tabelle!$J$214,IF($E5="c3",Tabelle!$J$215,IF($E5="c4",Tabelle!$J$216,IF($E5="c5",Tabelle!$J$217,IF($E5="c6",Tabelle!$J$218,))))))</f>
        <v>0</v>
      </c>
      <c r="M5" s="285">
        <f>IF($E5="d1",Tabelle!$J$219,IF($E5="d2",Tabelle!$J$220,IF($E5="d3",Tabelle!$J$221,IF($E5="d4",Tabelle!$J$222,IF($E5="d5",Tabelle!$J$223,IF($E5="d6",Tabelle!$J$224,IF($E5="d7",Tabelle!$J$225,)))))))</f>
        <v>0</v>
      </c>
      <c r="N5" s="285">
        <f t="shared" si="8"/>
        <v>238.93999999999869</v>
      </c>
      <c r="O5" s="285"/>
      <c r="P5" s="285">
        <f>IF($E5="a1",Tabelle!$C$235,IF($E5="a2",Tabelle!$C$236,IF($E5="a3",Tabelle!$C$237,IF($E5="a4",Tabelle!$C$238,IF($E5="a5",Tabelle!$C$239,IF($E5="a6",Tabelle!$C$240,))))))</f>
        <v>91.416550000000015</v>
      </c>
      <c r="Q5" s="285">
        <f>IF($E5="b1",Tabelle!$C$241,IF($E5="b2",Tabelle!$C$242,IF($E5="b3",Tabelle!$C$243,IF($E5="b4",Tabelle!$C$244,IF($E5="b5",Tabelle!$C$245,IF($E5="b6",Tabelle!$C$246,IF($E5="b7",Tabelle!$C$247,IF($E5="b8",Tabelle!$C$248,))))))))</f>
        <v>0</v>
      </c>
      <c r="R5" s="285">
        <f>IF($E5="c1",Tabelle!$F$235,IF($E5="c2",Tabelle!$F$236,IF($E5="c3",Tabelle!$F$237,IF($E5="c4",Tabelle!$F$238,IF($E5="c5",Tabelle!$F$239,IF($E5="c6",Tabelle!$F$240,))))))</f>
        <v>0</v>
      </c>
      <c r="S5" s="285">
        <f>IF($E5="d1",Tabelle!$F$241,IF($E5="d2",Tabelle!$F$242,IF($E5="d3",Tabelle!$F$243,IF($E5="d4",Tabelle!$F$244,IF($E5="d5",Tabelle!$F$245,IF($E5="d6",Tabelle!$F$246,IF($E5="d7",Tabelle!$F$247,)))))))</f>
        <v>0</v>
      </c>
      <c r="T5" s="285">
        <f t="shared" si="2"/>
        <v>91.416550000000015</v>
      </c>
      <c r="U5" s="285">
        <f t="shared" si="3"/>
        <v>1531.2272125000002</v>
      </c>
      <c r="V5" s="285">
        <f>Tabelle!$B$290/12*H5/36*F5</f>
        <v>64.56</v>
      </c>
      <c r="W5" s="285">
        <f>IF($D5="A",Tabelle!$B$276,IF(OR($D5="B1",$D5="B3"),Tabelle!$B$277,IF($D5="C",Tabelle!$B$279,IF(OR($D5="D1",$D5="d3"),Tabelle!$B$280,))))</f>
        <v>37.08</v>
      </c>
      <c r="X5" s="285">
        <f>IF($D5="A",Tabelle!$C$276,IF(OR($D5="B1",$D5="B3"),Tabelle!$C$277,IF($D5="C",Tabelle!$C$279,IF(OR($D5="D1",$D5="d3"),Tabelle!$C$280,))))</f>
        <v>351.6</v>
      </c>
      <c r="Y5" s="285">
        <f t="shared" si="4"/>
        <v>37.08</v>
      </c>
      <c r="Z5" s="285">
        <f t="shared" si="5"/>
        <v>351.6</v>
      </c>
      <c r="AA5" s="285">
        <f t="shared" si="6"/>
        <v>20359.193762500006</v>
      </c>
      <c r="AB5" s="285">
        <f t="shared" si="7"/>
        <v>297.10378750000007</v>
      </c>
      <c r="AC5" s="87"/>
    </row>
    <row r="6" spans="1:29" s="23" customFormat="1" ht="21" customHeight="1" x14ac:dyDescent="0.25">
      <c r="A6" s="21"/>
      <c r="B6" s="21" t="s">
        <v>451</v>
      </c>
      <c r="C6" s="21" t="s">
        <v>450</v>
      </c>
      <c r="D6" s="296" t="s">
        <v>55</v>
      </c>
      <c r="E6" s="296" t="s">
        <v>34</v>
      </c>
      <c r="F6" s="296">
        <v>36</v>
      </c>
      <c r="G6" s="297">
        <f>IF(D6="a",Tabelle!$E$213,IF(D6="b1",Tabelle!$E$219,IF(D6="b3",Tabelle!$E$221,IF(D6="c",Tabelle!$J$213,IF(D6="d1",Tabelle!$J$219,IF(D6="d3",Tabelle!$J$221,))))))</f>
        <v>21392.87</v>
      </c>
      <c r="H6" s="296">
        <v>12</v>
      </c>
      <c r="I6" s="285">
        <f t="shared" si="0"/>
        <v>21392.87</v>
      </c>
      <c r="J6" s="285">
        <f>IF($E6="a1",Tabelle!$E$213,IF($E6="a2",Tabelle!$E$214,IF($E6="a3",Tabelle!$E$215,IF($E6="a4",Tabelle!$E$216,IF($E6="a5",Tabelle!$E$217,IF($E6="a6",Tabelle!$E$218,))))))</f>
        <v>0</v>
      </c>
      <c r="K6" s="285">
        <f>IF($E6="b1",Tabelle!$E$219,IF($E6="b2",Tabelle!$E$220,IF($E6="b3",Tabelle!$E$221,IF($E6="b4",Tabelle!$E$222,IF($E6="b5",Tabelle!$E$223,IF($E6="b6",Tabelle!$E$224,IF($E6="b7",Tabelle!$C$225,IF($E6="b8",Tabelle!$C$226,))))))))</f>
        <v>0</v>
      </c>
      <c r="L6" s="285">
        <f>IF($E6="c1",Tabelle!$J$213,IF($E6="c2",Tabelle!$J$214,IF($E6="c3",Tabelle!$J$215,IF($E6="c4",Tabelle!$J$216,IF($E6="c5",Tabelle!$J$217,IF($E6="c6",Tabelle!$J$218,))))))</f>
        <v>21392.87</v>
      </c>
      <c r="M6" s="285">
        <f>IF($E6="d1",Tabelle!$J$219,IF($E6="d2",Tabelle!$J$220,IF($E6="d3",Tabelle!$J$221,IF($E6="d4",Tabelle!$J$222,IF($E6="d5",Tabelle!$J$223,IF($E6="d6",Tabelle!$J$224,IF($E6="d7",Tabelle!$J$225,)))))))</f>
        <v>0</v>
      </c>
      <c r="N6" s="285">
        <f t="shared" si="8"/>
        <v>0</v>
      </c>
      <c r="O6" s="285"/>
      <c r="P6" s="285">
        <f>IF($E6="a1",Tabelle!$C$235,IF($E6="a2",Tabelle!$C$236,IF($E6="a3",Tabelle!$C$237,IF($E6="a4",Tabelle!$C$238,IF($E6="a5",Tabelle!$C$239,IF($E6="a6",Tabelle!$C$240,))))))</f>
        <v>0</v>
      </c>
      <c r="Q6" s="285">
        <f>IF($E6="b1",Tabelle!$C$241,IF($E6="b2",Tabelle!$C$242,IF($E6="b3",Tabelle!$C$243,IF($E6="b4",Tabelle!$C$244,IF($E6="b5",Tabelle!$C$245,IF($E6="b6",Tabelle!$C$246,IF($E6="b7",Tabelle!$C$247,IF($E6="b8",Tabelle!$C$248,))))))))</f>
        <v>0</v>
      </c>
      <c r="R6" s="285">
        <f>IF($E6="c1",Tabelle!$F$235,IF($E6="c2",Tabelle!$F$236,IF($E6="c3",Tabelle!$F$237,IF($E6="c4",Tabelle!$F$238,IF($E6="c5",Tabelle!$F$239,IF($E6="c6",Tabelle!$F$240,))))))</f>
        <v>106.96435</v>
      </c>
      <c r="S6" s="285">
        <f>IF($E6="d1",Tabelle!$F$241,IF($E6="d2",Tabelle!$F$242,IF($E6="d3",Tabelle!$F$243,IF($E6="d4",Tabelle!$F$244,IF($E6="d5",Tabelle!$F$245,IF($E6="d6",Tabelle!$F$246,IF($E6="d7",Tabelle!$F$247,)))))))</f>
        <v>0</v>
      </c>
      <c r="T6" s="285">
        <f t="shared" si="2"/>
        <v>106.96435</v>
      </c>
      <c r="U6" s="285">
        <f t="shared" si="3"/>
        <v>1791.6528624999999</v>
      </c>
      <c r="V6" s="285"/>
      <c r="W6" s="285">
        <f>IF($D6="A",Tabelle!$B$276,IF(OR($D6="B1",$D6="B3"),Tabelle!$B$277,IF($D6="C",Tabelle!$B$279,IF(OR($D6="D1",$D6="d3"),Tabelle!$B$280,))))</f>
        <v>52.08</v>
      </c>
      <c r="X6" s="285">
        <f>IF($D6="A",Tabelle!$C$276,IF(OR($D6="B1",$D6="B3"),Tabelle!$C$277,IF($D6="C",Tabelle!$C$279,IF(OR($D6="D1",$D6="d3"),Tabelle!$C$280,))))</f>
        <v>497.51999999999992</v>
      </c>
      <c r="Y6" s="285">
        <f t="shared" si="4"/>
        <v>52.08</v>
      </c>
      <c r="Z6" s="285">
        <f t="shared" si="5"/>
        <v>497.51999999999992</v>
      </c>
      <c r="AA6" s="285">
        <f t="shared" si="6"/>
        <v>23841.087212499999</v>
      </c>
      <c r="AB6" s="285">
        <f t="shared" si="7"/>
        <v>347.63413749999995</v>
      </c>
      <c r="AC6" s="87"/>
    </row>
    <row r="7" spans="1:29" s="23" customFormat="1" ht="21" customHeight="1" x14ac:dyDescent="0.25">
      <c r="A7" s="21"/>
      <c r="B7" s="21" t="s">
        <v>206</v>
      </c>
      <c r="C7" s="21" t="s">
        <v>481</v>
      </c>
      <c r="D7" s="296" t="s">
        <v>68</v>
      </c>
      <c r="E7" s="296" t="s">
        <v>25</v>
      </c>
      <c r="F7" s="296">
        <v>36</v>
      </c>
      <c r="G7" s="297">
        <f>IF(D7="a",Tabelle!$E$213,IF(D7="b1",Tabelle!$E$219,IF(D7="b3",Tabelle!$E$221,IF(D7="c",Tabelle!$J$213,IF(D7="d1",Tabelle!$J$219,IF(D7="d3",Tabelle!$J$221,))))))</f>
        <v>18044.370000000003</v>
      </c>
      <c r="H7" s="296">
        <v>12</v>
      </c>
      <c r="I7" s="285">
        <f t="shared" si="0"/>
        <v>18044.370000000003</v>
      </c>
      <c r="J7" s="285">
        <f>IF($E7="a1",Tabelle!$E$213,IF($E7="a2",Tabelle!$E$214,IF($E7="a3",Tabelle!$E$215,IF($E7="a4",Tabelle!$E$216,IF($E7="a5",Tabelle!$E$217,IF($E7="a6",Tabelle!$E$218,))))))</f>
        <v>19676.93</v>
      </c>
      <c r="K7" s="285">
        <f>IF($E7="b1",Tabelle!$E$219,IF($E7="b2",Tabelle!$E$220,IF($E7="b3",Tabelle!$E$221,IF($E7="b4",Tabelle!$E$222,IF($E7="b5",Tabelle!$E$223,IF($E7="b6",Tabelle!$E$224,IF($E7="b7",Tabelle!$C$225,IF($E7="b8",Tabelle!$C$226,))))))))</f>
        <v>0</v>
      </c>
      <c r="L7" s="285">
        <f>IF($E7="c1",Tabelle!$J$213,IF($E7="c2",Tabelle!$J$214,IF($E7="c3",Tabelle!$J$215,IF($E7="c4",Tabelle!$J$216,IF($E7="c5",Tabelle!$J$217,IF($E7="c6",Tabelle!$J$218,))))))</f>
        <v>0</v>
      </c>
      <c r="M7" s="285">
        <f>IF($E7="d1",Tabelle!$J$219,IF($E7="d2",Tabelle!$J$220,IF($E7="d3",Tabelle!$J$221,IF($E7="d4",Tabelle!$J$222,IF($E7="d5",Tabelle!$J$223,IF($E7="d6",Tabelle!$J$224,IF($E7="d7",Tabelle!$J$225,)))))))</f>
        <v>0</v>
      </c>
      <c r="N7" s="285">
        <f t="shared" si="8"/>
        <v>1632.5599999999977</v>
      </c>
      <c r="O7" s="285"/>
      <c r="P7" s="285">
        <f>IF($E7="a1",Tabelle!$C$235,IF($E7="a2",Tabelle!$C$236,IF($E7="a3",Tabelle!$C$237,IF($E7="a4",Tabelle!$C$238,IF($E7="a5",Tabelle!$C$239,IF($E7="a6",Tabelle!$C$240,))))))</f>
        <v>98.384650000000008</v>
      </c>
      <c r="Q7" s="285">
        <f>IF($E7="b1",Tabelle!$C$241,IF($E7="b2",Tabelle!$C$242,IF($E7="b3",Tabelle!$C$243,IF($E7="b4",Tabelle!$C$244,IF($E7="b5",Tabelle!$C$245,IF($E7="b6",Tabelle!$C$246,IF($E7="b7",Tabelle!$C$247,IF($E7="b8",Tabelle!$C$248,))))))))</f>
        <v>0</v>
      </c>
      <c r="R7" s="285">
        <f>IF($E7="c1",Tabelle!$F$235,IF($E7="c2",Tabelle!$F$236,IF($E7="c3",Tabelle!$F$237,IF($E7="c4",Tabelle!$F$238,IF($E7="c5",Tabelle!$F$239,IF($E7="c6",Tabelle!$F$240,))))))</f>
        <v>0</v>
      </c>
      <c r="S7" s="285">
        <f>IF($E7="d1",Tabelle!$F$241,IF($E7="d2",Tabelle!$F$242,IF($E7="d3",Tabelle!$F$243,IF($E7="d4",Tabelle!$F$244,IF($E7="d5",Tabelle!$F$245,IF($E7="d6",Tabelle!$F$246,IF($E7="d7",Tabelle!$F$247,)))))))</f>
        <v>0</v>
      </c>
      <c r="T7" s="285">
        <f t="shared" si="2"/>
        <v>98.384650000000022</v>
      </c>
      <c r="U7" s="285">
        <f t="shared" si="3"/>
        <v>1647.9428875000001</v>
      </c>
      <c r="V7" s="285">
        <f>Tabelle!$B$290/12*H7/36*F7</f>
        <v>64.56</v>
      </c>
      <c r="W7" s="285">
        <f>IF($D7="A",Tabelle!$B$276,IF(OR($D7="B1",$D7="B3"),Tabelle!$B$277,IF($D7="C",Tabelle!$B$279,IF(OR($D7="D1",$D7="d3"),Tabelle!$B$280,))))</f>
        <v>37.08</v>
      </c>
      <c r="X7" s="285">
        <f>IF($D7="A",Tabelle!$C$276,IF(OR($D7="B1",$D7="B3"),Tabelle!$C$277,IF($D7="C",Tabelle!$C$279,IF(OR($D7="D1",$D7="d3"),Tabelle!$C$280,))))</f>
        <v>351.6</v>
      </c>
      <c r="Y7" s="285">
        <f t="shared" si="4"/>
        <v>37.08</v>
      </c>
      <c r="Z7" s="285">
        <f t="shared" si="5"/>
        <v>351.6</v>
      </c>
      <c r="AA7" s="285">
        <f t="shared" si="6"/>
        <v>21876.497537500003</v>
      </c>
      <c r="AB7" s="285">
        <f t="shared" si="7"/>
        <v>319.7501125</v>
      </c>
      <c r="AC7" s="87"/>
    </row>
    <row r="8" spans="1:29" s="23" customFormat="1" ht="21" customHeight="1" x14ac:dyDescent="0.25">
      <c r="A8" s="21"/>
      <c r="B8" s="21" t="s">
        <v>468</v>
      </c>
      <c r="C8" s="21" t="s">
        <v>469</v>
      </c>
      <c r="D8" s="296" t="s">
        <v>55</v>
      </c>
      <c r="E8" s="296" t="s">
        <v>34</v>
      </c>
      <c r="F8" s="296">
        <v>36</v>
      </c>
      <c r="G8" s="297">
        <f>IF(D8="a",Tabelle!$E$213,IF(D8="b1",Tabelle!$E$219,IF(D8="b3",Tabelle!$E$221,IF(D8="c",Tabelle!$J$213,IF(D8="d1",Tabelle!$J$219,IF(D8="d3",Tabelle!$J$221,))))))</f>
        <v>21392.87</v>
      </c>
      <c r="H8" s="296">
        <v>12</v>
      </c>
      <c r="I8" s="285">
        <f t="shared" si="0"/>
        <v>21392.87</v>
      </c>
      <c r="J8" s="285">
        <f>IF($E8="a1",Tabelle!$E$213,IF($E8="a2",Tabelle!$E$214,IF($E8="a3",Tabelle!$E$215,IF($E8="a4",Tabelle!$E$216,IF($E8="a5",Tabelle!$E$217,IF($E8="a6",Tabelle!$E$218,))))))</f>
        <v>0</v>
      </c>
      <c r="K8" s="285">
        <f>IF($E8="b1",Tabelle!$E$219,IF($E8="b2",Tabelle!$E$220,IF($E8="b3",Tabelle!$E$221,IF($E8="b4",Tabelle!$E$222,IF($E8="b5",Tabelle!$E$223,IF($E8="b6",Tabelle!$E$224,IF($E8="b7",Tabelle!$C$225,IF($E8="b8",Tabelle!$C$226,))))))))</f>
        <v>0</v>
      </c>
      <c r="L8" s="285">
        <f>IF($E8="c1",Tabelle!$J$213,IF($E8="c2",Tabelle!$J$214,IF($E8="c3",Tabelle!$J$215,IF($E8="c4",Tabelle!$J$216,IF($E8="c5",Tabelle!$J$217,IF($E8="c6",Tabelle!$J$218,))))))</f>
        <v>21392.87</v>
      </c>
      <c r="M8" s="285">
        <f>IF($E8="d1",Tabelle!$J$219,IF($E8="d2",Tabelle!$J$220,IF($E8="d3",Tabelle!$J$221,IF($E8="d4",Tabelle!$J$222,IF($E8="d5",Tabelle!$J$223,IF($E8="d6",Tabelle!$J$224,IF($E8="d7",Tabelle!$J$225,)))))))</f>
        <v>0</v>
      </c>
      <c r="N8" s="285">
        <f t="shared" si="8"/>
        <v>0</v>
      </c>
      <c r="O8" s="285"/>
      <c r="P8" s="285">
        <f>IF($E8="a1",Tabelle!$C$235,IF($E8="a2",Tabelle!$C$236,IF($E8="a3",Tabelle!$C$237,IF($E8="a4",Tabelle!$C$238,IF($E8="a5",Tabelle!$C$239,IF($E8="a6",Tabelle!$C$240,))))))</f>
        <v>0</v>
      </c>
      <c r="Q8" s="285">
        <f>IF($E8="b1",Tabelle!$C$241,IF($E8="b2",Tabelle!$C$242,IF($E8="b3",Tabelle!$C$243,IF($E8="b4",Tabelle!$C$244,IF($E8="b5",Tabelle!$C$245,IF($E8="b6",Tabelle!$C$246,IF($E8="b7",Tabelle!$C$247,IF($E8="b8",Tabelle!$C$248,))))))))</f>
        <v>0</v>
      </c>
      <c r="R8" s="285">
        <f>IF($E8="c1",Tabelle!$F$235,IF($E8="c2",Tabelle!$F$236,IF($E8="c3",Tabelle!$F$237,IF($E8="c4",Tabelle!$F$238,IF($E8="c5",Tabelle!$F$239,IF($E8="c6",Tabelle!$F$240,))))))</f>
        <v>106.96435</v>
      </c>
      <c r="S8" s="285">
        <f>IF($E8="d1",Tabelle!$F$241,IF($E8="d2",Tabelle!$F$242,IF($E8="d3",Tabelle!$F$243,IF($E8="d4",Tabelle!$F$244,IF($E8="d5",Tabelle!$F$245,IF($E8="d6",Tabelle!$F$246,IF($E8="d7",Tabelle!$F$247,)))))))</f>
        <v>0</v>
      </c>
      <c r="T8" s="285">
        <f t="shared" si="2"/>
        <v>106.96435</v>
      </c>
      <c r="U8" s="285">
        <f t="shared" si="3"/>
        <v>1791.6528624999999</v>
      </c>
      <c r="V8" s="285">
        <f>Tabelle!$B$285/12*H8/36*F8</f>
        <v>980.3</v>
      </c>
      <c r="W8" s="285">
        <f>IF($D8="A",Tabelle!$B$276,IF(OR($D8="B1",$D8="B3"),Tabelle!$B$277,IF($D8="C",Tabelle!$B$279,IF(OR($D8="D1",$D8="d3"),Tabelle!$B$280,))))</f>
        <v>52.08</v>
      </c>
      <c r="X8" s="285">
        <f>IF($D8="A",Tabelle!$C$276,IF(OR($D8="B1",$D8="B3"),Tabelle!$C$277,IF($D8="C",Tabelle!$C$279,IF(OR($D8="D1",$D8="d3"),Tabelle!$C$280,))))</f>
        <v>497.51999999999992</v>
      </c>
      <c r="Y8" s="285">
        <f t="shared" si="4"/>
        <v>52.08</v>
      </c>
      <c r="Z8" s="285">
        <f t="shared" si="5"/>
        <v>497.51999999999992</v>
      </c>
      <c r="AA8" s="285">
        <f t="shared" si="6"/>
        <v>24821.387212499998</v>
      </c>
      <c r="AB8" s="285">
        <f t="shared" si="7"/>
        <v>347.63413749999995</v>
      </c>
      <c r="AC8" s="87"/>
    </row>
    <row r="9" spans="1:29" s="23" customFormat="1" ht="21" customHeight="1" x14ac:dyDescent="0.25">
      <c r="A9" s="21"/>
      <c r="B9" s="21" t="s">
        <v>213</v>
      </c>
      <c r="C9" s="21" t="s">
        <v>465</v>
      </c>
      <c r="D9" s="296" t="s">
        <v>26</v>
      </c>
      <c r="E9" s="296" t="s">
        <v>30</v>
      </c>
      <c r="F9" s="296">
        <v>36</v>
      </c>
      <c r="G9" s="297">
        <f>IF(D9="a",Tabelle!$E$213,IF(D9="b1",Tabelle!$E$219,IF(D9="b3",Tabelle!$E$221,IF(D9="c",Tabelle!$J$213,IF(D9="d1",Tabelle!$J$219,IF(D9="d3",Tabelle!$J$221,))))))</f>
        <v>19034.509999999998</v>
      </c>
      <c r="H9" s="296">
        <v>12</v>
      </c>
      <c r="I9" s="285">
        <f t="shared" si="0"/>
        <v>19034.509999999998</v>
      </c>
      <c r="J9" s="285">
        <f>IF($E9="a1",Tabelle!$E$213,IF($E9="a2",Tabelle!$E$214,IF($E9="a3",Tabelle!$E$215,IF($E9="a4",Tabelle!$E$216,IF($E9="a5",Tabelle!$E$217,IF($E9="a6",Tabelle!$E$218,))))))</f>
        <v>0</v>
      </c>
      <c r="K9" s="285">
        <f>IF($E9="b1",Tabelle!$E$219,IF($E9="b2",Tabelle!$E$220,IF($E9="b3",Tabelle!$E$221,IF($E9="b4",Tabelle!$E$222,IF($E9="b5",Tabelle!$E$223,IF($E9="b6",Tabelle!$E$224,IF($E9="b7",Tabelle!$C$225,IF($E9="b8",Tabelle!$C$226,))))))))</f>
        <v>20692.310000000001</v>
      </c>
      <c r="L9" s="285">
        <f>IF($E9="c1",Tabelle!$J$213,IF($E9="c2",Tabelle!$J$214,IF($E9="c3",Tabelle!$J$215,IF($E9="c4",Tabelle!$J$216,IF($E9="c5",Tabelle!$J$217,IF($E9="c6",Tabelle!$J$218,))))))</f>
        <v>0</v>
      </c>
      <c r="M9" s="285">
        <f>IF($E9="d1",Tabelle!$J$219,IF($E9="d2",Tabelle!$J$220,IF($E9="d3",Tabelle!$J$221,IF($E9="d4",Tabelle!$J$222,IF($E9="d5",Tabelle!$J$223,IF($E9="d6",Tabelle!$J$224,IF($E9="d7",Tabelle!$J$225,)))))))</f>
        <v>0</v>
      </c>
      <c r="N9" s="285">
        <f t="shared" si="8"/>
        <v>1657.8000000000029</v>
      </c>
      <c r="O9" s="285"/>
      <c r="P9" s="285">
        <f>IF($E9="a1",Tabelle!$C$235,IF($E9="a2",Tabelle!$C$236,IF($E9="a3",Tabelle!$C$237,IF($E9="a4",Tabelle!$C$238,IF($E9="a5",Tabelle!$C$239,IF($E9="a6",Tabelle!$C$240,))))))</f>
        <v>0</v>
      </c>
      <c r="Q9" s="285">
        <f>IF($E9="b1",Tabelle!$C$241,IF($E9="b2",Tabelle!$C$242,IF($E9="b3",Tabelle!$C$243,IF($E9="b4",Tabelle!$C$244,IF($E9="b5",Tabelle!$C$245,IF($E9="b6",Tabelle!$C$246,IF($E9="b7",Tabelle!$C$247,IF($E9="b8",Tabelle!$C$248,))))))))</f>
        <v>103.46155</v>
      </c>
      <c r="R9" s="285">
        <f>IF($E9="c1",Tabelle!$F$235,IF($E9="c2",Tabelle!$F$236,IF($E9="c3",Tabelle!$F$237,IF($E9="c4",Tabelle!$F$238,IF($E9="c5",Tabelle!$F$239,IF($E9="c6",Tabelle!$F$240,))))))</f>
        <v>0</v>
      </c>
      <c r="S9" s="285">
        <f>IF($E9="d1",Tabelle!$F$241,IF($E9="d2",Tabelle!$F$242,IF($E9="d3",Tabelle!$F$243,IF($E9="d4",Tabelle!$F$244,IF($E9="d5",Tabelle!$F$245,IF($E9="d6",Tabelle!$F$246,IF($E9="d7",Tabelle!$F$247,)))))))</f>
        <v>0</v>
      </c>
      <c r="T9" s="285">
        <f t="shared" si="2"/>
        <v>103.46155</v>
      </c>
      <c r="U9" s="285">
        <f t="shared" si="3"/>
        <v>1732.9809625</v>
      </c>
      <c r="V9" s="285"/>
      <c r="W9" s="285">
        <f>IF($D9="A",Tabelle!$B$276,IF(OR($D9="B1",$D9="B3"),Tabelle!$B$277,IF($D9="C",Tabelle!$B$279,IF(OR($D9="D1",$D9="d3"),Tabelle!$B$280,))))</f>
        <v>44.76</v>
      </c>
      <c r="X9" s="285">
        <f>IF($D9="A",Tabelle!$C$276,IF(OR($D9="B1",$D9="B3"),Tabelle!$C$277,IF($D9="C",Tabelle!$C$279,IF(OR($D9="D1",$D9="d3"),Tabelle!$C$280,))))</f>
        <v>426.84</v>
      </c>
      <c r="Y9" s="285">
        <f t="shared" si="4"/>
        <v>44.759999999999991</v>
      </c>
      <c r="Z9" s="285">
        <f t="shared" si="5"/>
        <v>426.84000000000003</v>
      </c>
      <c r="AA9" s="285">
        <f t="shared" si="6"/>
        <v>23000.352512500001</v>
      </c>
      <c r="AB9" s="285">
        <f t="shared" si="7"/>
        <v>336.25003750000002</v>
      </c>
      <c r="AC9" s="87"/>
    </row>
    <row r="10" spans="1:29" s="23" customFormat="1" ht="21" customHeight="1" x14ac:dyDescent="0.25">
      <c r="A10" s="21"/>
      <c r="B10" s="21" t="s">
        <v>210</v>
      </c>
      <c r="C10" s="21" t="s">
        <v>459</v>
      </c>
      <c r="D10" s="296" t="s">
        <v>26</v>
      </c>
      <c r="E10" s="296" t="s">
        <v>28</v>
      </c>
      <c r="F10" s="296">
        <v>36</v>
      </c>
      <c r="G10" s="297">
        <f>IF(D10="a",Tabelle!$E$213,IF(D10="b1",Tabelle!$E$219,IF(D10="b3",Tabelle!$E$221,IF(D10="c",Tabelle!$J$213,IF(D10="d1",Tabelle!$J$219,IF(D10="d3",Tabelle!$J$221,))))))</f>
        <v>19034.509999999998</v>
      </c>
      <c r="H10" s="296">
        <v>12</v>
      </c>
      <c r="I10" s="285">
        <f t="shared" si="0"/>
        <v>19034.509999999998</v>
      </c>
      <c r="J10" s="285">
        <f>IF($E10="a1",Tabelle!$E$213,IF($E10="a2",Tabelle!$E$214,IF($E10="a3",Tabelle!$E$215,IF($E10="a4",Tabelle!$E$216,IF($E10="a5",Tabelle!$E$217,IF($E10="a6",Tabelle!$E$218,))))))</f>
        <v>0</v>
      </c>
      <c r="K10" s="285">
        <f>IF($E10="b1",Tabelle!$E$219,IF($E10="b2",Tabelle!$E$220,IF($E10="b3",Tabelle!$E$221,IF($E10="b4",Tabelle!$E$222,IF($E10="b5",Tabelle!$E$223,IF($E10="b6",Tabelle!$E$224,IF($E10="b7",Tabelle!$C$225,IF($E10="b8",Tabelle!$C$226,))))))))</f>
        <v>20072.88</v>
      </c>
      <c r="L10" s="285">
        <f>IF($E10="c1",Tabelle!$J$213,IF($E10="c2",Tabelle!$J$214,IF($E10="c3",Tabelle!$J$215,IF($E10="c4",Tabelle!$J$216,IF($E10="c5",Tabelle!$J$217,IF($E10="c6",Tabelle!$J$218,))))))</f>
        <v>0</v>
      </c>
      <c r="M10" s="285">
        <f>IF($E10="d1",Tabelle!$J$219,IF($E10="d2",Tabelle!$J$220,IF($E10="d3",Tabelle!$J$221,IF($E10="d4",Tabelle!$J$222,IF($E10="d5",Tabelle!$J$223,IF($E10="d6",Tabelle!$J$224,IF($E10="d7",Tabelle!$J$225,)))))))</f>
        <v>0</v>
      </c>
      <c r="N10" s="285">
        <f t="shared" si="8"/>
        <v>1038.3700000000026</v>
      </c>
      <c r="O10" s="285"/>
      <c r="P10" s="285">
        <f>IF($E10="a1",Tabelle!$C$235,IF($E10="a2",Tabelle!$C$236,IF($E10="a3",Tabelle!$C$237,IF($E10="a4",Tabelle!$C$238,IF($E10="a5",Tabelle!$C$239,IF($E10="a6",Tabelle!$C$240,))))))</f>
        <v>0</v>
      </c>
      <c r="Q10" s="285">
        <f>IF($E10="b1",Tabelle!$C$241,IF($E10="b2",Tabelle!$C$242,IF($E10="b3",Tabelle!$C$243,IF($E10="b4",Tabelle!$C$244,IF($E10="b5",Tabelle!$C$245,IF($E10="b6",Tabelle!$C$246,IF($E10="b7",Tabelle!$C$247,IF($E10="b8",Tabelle!$C$248,))))))))</f>
        <v>100.3644</v>
      </c>
      <c r="R10" s="285">
        <f>IF($E10="c1",Tabelle!$F$235,IF($E10="c2",Tabelle!$F$236,IF($E10="c3",Tabelle!$F$237,IF($E10="c4",Tabelle!$F$238,IF($E10="c5",Tabelle!$F$239,IF($E10="c6",Tabelle!$F$240,))))))</f>
        <v>0</v>
      </c>
      <c r="S10" s="285">
        <f>IF($E10="d1",Tabelle!$F$241,IF($E10="d2",Tabelle!$F$242,IF($E10="d3",Tabelle!$F$243,IF($E10="d4",Tabelle!$F$244,IF($E10="d5",Tabelle!$F$245,IF($E10="d6",Tabelle!$F$246,IF($E10="d7",Tabelle!$F$247,)))))))</f>
        <v>0</v>
      </c>
      <c r="T10" s="285">
        <f t="shared" si="2"/>
        <v>100.36439999999999</v>
      </c>
      <c r="U10" s="285">
        <f t="shared" si="3"/>
        <v>1681.1036999999999</v>
      </c>
      <c r="V10" s="285">
        <f>Tabelle!$B$290/12*H10/36*F10</f>
        <v>64.56</v>
      </c>
      <c r="W10" s="285">
        <f>IF($D10="A",Tabelle!$B$276,IF(OR($D10="B1",$D10="B3"),Tabelle!$B$277,IF($D10="C",Tabelle!$B$279,IF(OR($D10="D1",$D10="d3"),Tabelle!$B$280,))))</f>
        <v>44.76</v>
      </c>
      <c r="X10" s="285">
        <f>IF($D10="A",Tabelle!$C$276,IF(OR($D10="B1",$D10="B3"),Tabelle!$C$277,IF($D10="C",Tabelle!$C$279,IF(OR($D10="D1",$D10="d3"),Tabelle!$C$280,))))</f>
        <v>426.84</v>
      </c>
      <c r="Y10" s="285">
        <f t="shared" si="4"/>
        <v>44.759999999999991</v>
      </c>
      <c r="Z10" s="285">
        <f t="shared" si="5"/>
        <v>426.84000000000003</v>
      </c>
      <c r="AA10" s="285">
        <f t="shared" si="6"/>
        <v>22390.508099999999</v>
      </c>
      <c r="AB10" s="285">
        <f t="shared" si="7"/>
        <v>326.18430000000001</v>
      </c>
      <c r="AC10" s="87"/>
    </row>
    <row r="11" spans="1:29" s="23" customFormat="1" ht="21" customHeight="1" x14ac:dyDescent="0.25">
      <c r="A11" s="21"/>
      <c r="B11" s="21" t="s">
        <v>480</v>
      </c>
      <c r="C11" s="21" t="s">
        <v>469</v>
      </c>
      <c r="D11" s="296" t="s">
        <v>55</v>
      </c>
      <c r="E11" s="296" t="s">
        <v>36</v>
      </c>
      <c r="F11" s="296">
        <v>36</v>
      </c>
      <c r="G11" s="297">
        <f>IF(D11="a",Tabelle!$E$213,IF(D11="b1",Tabelle!$E$219,IF(D11="b3",Tabelle!$E$221,IF(D11="c",Tabelle!$J$213,IF(D11="d1",Tabelle!$J$219,IF(D11="d3",Tabelle!$J$221,))))))</f>
        <v>21392.87</v>
      </c>
      <c r="H11" s="296">
        <v>12</v>
      </c>
      <c r="I11" s="285">
        <f t="shared" si="0"/>
        <v>21392.87</v>
      </c>
      <c r="J11" s="285">
        <f>IF($E11="a1",Tabelle!$E$213,IF($E11="a2",Tabelle!$E$214,IF($E11="a3",Tabelle!$E$215,IF($E11="a4",Tabelle!$E$216,IF($E11="a5",Tabelle!$E$217,IF($E11="a6",Tabelle!$E$218,))))))</f>
        <v>0</v>
      </c>
      <c r="K11" s="285">
        <f>IF($E11="b1",Tabelle!$E$219,IF($E11="b2",Tabelle!$E$220,IF($E11="b3",Tabelle!$E$221,IF($E11="b4",Tabelle!$E$222,IF($E11="b5",Tabelle!$E$223,IF($E11="b6",Tabelle!$E$224,IF($E11="b7",Tabelle!$C$225,IF($E11="b8",Tabelle!$C$226,))))))))</f>
        <v>0</v>
      </c>
      <c r="L11" s="285">
        <f>IF($E11="c1",Tabelle!$J$213,IF($E11="c2",Tabelle!$J$214,IF($E11="c3",Tabelle!$J$215,IF($E11="c4",Tabelle!$J$216,IF($E11="c5",Tabelle!$J$217,IF($E11="c6",Tabelle!$J$218,))))))</f>
        <v>22469.779999999995</v>
      </c>
      <c r="M11" s="285">
        <f>IF($E11="d1",Tabelle!$J$219,IF($E11="d2",Tabelle!$J$220,IF($E11="d3",Tabelle!$J$221,IF($E11="d4",Tabelle!$J$222,IF($E11="d5",Tabelle!$J$223,IF($E11="d6",Tabelle!$J$224,IF($E11="d7",Tabelle!$J$225,)))))))</f>
        <v>0</v>
      </c>
      <c r="N11" s="285">
        <f t="shared" si="8"/>
        <v>1076.9099999999962</v>
      </c>
      <c r="O11" s="285"/>
      <c r="P11" s="285">
        <f>IF($E11="a1",Tabelle!$C$235,IF($E11="a2",Tabelle!$C$236,IF($E11="a3",Tabelle!$C$237,IF($E11="a4",Tabelle!$C$238,IF($E11="a5",Tabelle!$C$239,IF($E11="a6",Tabelle!$C$240,))))))</f>
        <v>0</v>
      </c>
      <c r="Q11" s="285">
        <f>IF($E11="b1",Tabelle!$C$241,IF($E11="b2",Tabelle!$C$242,IF($E11="b3",Tabelle!$C$243,IF($E11="b4",Tabelle!$C$244,IF($E11="b5",Tabelle!$C$245,IF($E11="b6",Tabelle!$C$246,IF($E11="b7",Tabelle!$C$247,IF($E11="b8",Tabelle!$C$248,))))))))</f>
        <v>0</v>
      </c>
      <c r="R11" s="285">
        <f>IF($E11="c1",Tabelle!$F$235,IF($E11="c2",Tabelle!$F$236,IF($E11="c3",Tabelle!$F$237,IF($E11="c4",Tabelle!$F$238,IF($E11="c5",Tabelle!$F$239,IF($E11="c6",Tabelle!$F$240,))))))</f>
        <v>112.34889999999997</v>
      </c>
      <c r="S11" s="285">
        <f>IF($E11="d1",Tabelle!$F$241,IF($E11="d2",Tabelle!$F$242,IF($E11="d3",Tabelle!$F$243,IF($E11="d4",Tabelle!$F$244,IF($E11="d5",Tabelle!$F$245,IF($E11="d6",Tabelle!$F$246,IF($E11="d7",Tabelle!$F$247,)))))))</f>
        <v>0</v>
      </c>
      <c r="T11" s="285">
        <f t="shared" si="2"/>
        <v>112.34889999999997</v>
      </c>
      <c r="U11" s="285">
        <f t="shared" si="3"/>
        <v>1881.8440749999997</v>
      </c>
      <c r="V11" s="285"/>
      <c r="W11" s="285">
        <f>IF($D11="A",Tabelle!$B$276,IF(OR($D11="B1",$D11="B3"),Tabelle!$B$277,IF($D11="C",Tabelle!$B$279,IF(OR($D11="D1",$D11="d3"),Tabelle!$B$280,))))</f>
        <v>52.08</v>
      </c>
      <c r="X11" s="285">
        <f>IF($D11="A",Tabelle!$C$276,IF(OR($D11="B1",$D11="B3"),Tabelle!$C$277,IF($D11="C",Tabelle!$C$279,IF(OR($D11="D1",$D11="d3"),Tabelle!$C$280,))))</f>
        <v>497.51999999999992</v>
      </c>
      <c r="Y11" s="285">
        <f t="shared" si="4"/>
        <v>52.08</v>
      </c>
      <c r="Z11" s="285">
        <f t="shared" si="5"/>
        <v>497.51999999999992</v>
      </c>
      <c r="AA11" s="285">
        <f t="shared" si="6"/>
        <v>25013.572974999999</v>
      </c>
      <c r="AB11" s="285">
        <f t="shared" si="7"/>
        <v>365.13392499999992</v>
      </c>
      <c r="AC11" s="87"/>
    </row>
    <row r="12" spans="1:29" s="23" customFormat="1" ht="21" customHeight="1" x14ac:dyDescent="0.25">
      <c r="A12" s="21"/>
      <c r="B12" s="21" t="s">
        <v>231</v>
      </c>
      <c r="C12" s="21" t="s">
        <v>182</v>
      </c>
      <c r="D12" s="296" t="s">
        <v>55</v>
      </c>
      <c r="E12" s="296" t="s">
        <v>36</v>
      </c>
      <c r="F12" s="296">
        <v>36</v>
      </c>
      <c r="G12" s="297">
        <f>IF(D12="a",Tabelle!$E$213,IF(D12="b1",Tabelle!$E$219,IF(D12="b3",Tabelle!$E$221,IF(D12="c",Tabelle!$J$213,IF(D12="d1",Tabelle!$J$219,IF(D12="d3",Tabelle!$J$221,))))))</f>
        <v>21392.87</v>
      </c>
      <c r="H12" s="296">
        <v>12</v>
      </c>
      <c r="I12" s="285">
        <f t="shared" si="0"/>
        <v>21392.87</v>
      </c>
      <c r="J12" s="285">
        <f>IF($E12="a1",Tabelle!$E$213,IF($E12="a2",Tabelle!$E$214,IF($E12="a3",Tabelle!$E$215,IF($E12="a4",Tabelle!$E$216,IF($E12="a5",Tabelle!$E$217,IF($E12="a6",Tabelle!$E$218,))))))</f>
        <v>0</v>
      </c>
      <c r="K12" s="285">
        <f>IF($E12="b1",Tabelle!$E$219,IF($E12="b2",Tabelle!$E$220,IF($E12="b3",Tabelle!$E$221,IF($E12="b4",Tabelle!$E$222,IF($E12="b5",Tabelle!$E$223,IF($E12="b6",Tabelle!$E$224,IF($E12="b7",Tabelle!$C$225,IF($E12="b8",Tabelle!$C$226,))))))))</f>
        <v>0</v>
      </c>
      <c r="L12" s="285">
        <f>IF($E12="c1",Tabelle!$J$213,IF($E12="c2",Tabelle!$J$214,IF($E12="c3",Tabelle!$J$215,IF($E12="c4",Tabelle!$J$216,IF($E12="c5",Tabelle!$J$217,IF($E12="c6",Tabelle!$J$218,))))))</f>
        <v>22469.779999999995</v>
      </c>
      <c r="M12" s="285">
        <f>IF($E12="d1",Tabelle!$J$219,IF($E12="d2",Tabelle!$J$220,IF($E12="d3",Tabelle!$J$221,IF($E12="d4",Tabelle!$J$222,IF($E12="d5",Tabelle!$J$223,IF($E12="d6",Tabelle!$J$224,IF($E12="d7",Tabelle!$J$225,)))))))</f>
        <v>0</v>
      </c>
      <c r="N12" s="285">
        <f t="shared" si="1"/>
        <v>1076.9099999999962</v>
      </c>
      <c r="O12" s="285"/>
      <c r="P12" s="285">
        <f>IF($E12="a1",Tabelle!$C$235,IF($E12="a2",Tabelle!$C$236,IF($E12="a3",Tabelle!$C$237,IF($E12="a4",Tabelle!$C$238,IF($E12="a5",Tabelle!$C$239,IF($E12="a6",Tabelle!$C$240,))))))</f>
        <v>0</v>
      </c>
      <c r="Q12" s="285">
        <f>IF($E12="b1",Tabelle!$C$241,IF($E12="b2",Tabelle!$C$242,IF($E12="b3",Tabelle!$C$243,IF($E12="b4",Tabelle!$C$244,IF($E12="b5",Tabelle!$C$245,IF($E12="b6",Tabelle!$C$246,IF($E12="b7",Tabelle!$C$247,IF($E12="b8",Tabelle!$C$248,))))))))</f>
        <v>0</v>
      </c>
      <c r="R12" s="285">
        <f>IF($E12="c1",Tabelle!$F$235,IF($E12="c2",Tabelle!$F$236,IF($E12="c3",Tabelle!$F$237,IF($E12="c4",Tabelle!$F$238,IF($E12="c5",Tabelle!$F$239,IF($E12="c6",Tabelle!$F$240,))))))</f>
        <v>112.34889999999997</v>
      </c>
      <c r="S12" s="285">
        <f>IF($E12="d1",Tabelle!$F$241,IF($E12="d2",Tabelle!$F$242,IF($E12="d3",Tabelle!$F$243,IF($E12="d4",Tabelle!$F$244,IF($E12="d5",Tabelle!$F$245,IF($E12="d6",Tabelle!$F$246,IF($E12="d7",Tabelle!$F$247,)))))))</f>
        <v>0</v>
      </c>
      <c r="T12" s="285">
        <f t="shared" si="2"/>
        <v>112.34889999999997</v>
      </c>
      <c r="U12" s="285">
        <f t="shared" si="3"/>
        <v>1881.8440749999997</v>
      </c>
      <c r="V12" s="285"/>
      <c r="W12" s="285">
        <f>IF($D12="A",Tabelle!$B$276,IF(OR($D12="B1",$D12="B3"),Tabelle!$B$277,IF($D12="C",Tabelle!$B$279,IF(OR($D12="D1",$D12="d3"),Tabelle!$B$280,))))</f>
        <v>52.08</v>
      </c>
      <c r="X12" s="285">
        <f>IF($D12="A",Tabelle!$C$276,IF(OR($D12="B1",$D12="B3"),Tabelle!$C$277,IF($D12="C",Tabelle!$C$279,IF(OR($D12="D1",$D12="d3"),Tabelle!$C$280,))))</f>
        <v>497.51999999999992</v>
      </c>
      <c r="Y12" s="285">
        <f t="shared" si="4"/>
        <v>52.08</v>
      </c>
      <c r="Z12" s="285">
        <f t="shared" si="5"/>
        <v>497.51999999999992</v>
      </c>
      <c r="AA12" s="285">
        <f t="shared" si="6"/>
        <v>25013.572974999999</v>
      </c>
      <c r="AB12" s="285">
        <f t="shared" si="7"/>
        <v>365.13392499999992</v>
      </c>
      <c r="AC12" s="87"/>
    </row>
    <row r="13" spans="1:29" s="23" customFormat="1" ht="21" customHeight="1" x14ac:dyDescent="0.25">
      <c r="A13" s="21"/>
      <c r="B13" s="21" t="s">
        <v>237</v>
      </c>
      <c r="C13" s="21" t="s">
        <v>469</v>
      </c>
      <c r="D13" s="296" t="s">
        <v>55</v>
      </c>
      <c r="E13" s="296" t="s">
        <v>39</v>
      </c>
      <c r="F13" s="296">
        <v>36</v>
      </c>
      <c r="G13" s="297">
        <f>IF(D13="a",Tabelle!$E$213,IF(D13="b1",Tabelle!$E$219,IF(D13="b3",Tabelle!$E$221,IF(D13="c",Tabelle!$J$213,IF(D13="d1",Tabelle!$J$219,IF(D13="d3",Tabelle!$J$221,))))))</f>
        <v>21392.87</v>
      </c>
      <c r="H13" s="296">
        <v>12</v>
      </c>
      <c r="I13" s="285">
        <f t="shared" si="0"/>
        <v>21392.87</v>
      </c>
      <c r="J13" s="285">
        <f>IF($E13="a1",Tabelle!$E$213,IF($E13="a2",Tabelle!$E$214,IF($E13="a3",Tabelle!$E$215,IF($E13="a4",Tabelle!$E$216,IF($E13="a5",Tabelle!$E$217,IF($E13="a6",Tabelle!$E$218,))))))</f>
        <v>0</v>
      </c>
      <c r="K13" s="285">
        <f>IF($E13="b1",Tabelle!$E$219,IF($E13="b2",Tabelle!$E$220,IF($E13="b3",Tabelle!$E$221,IF($E13="b4",Tabelle!$E$222,IF($E13="b5",Tabelle!$E$223,IF($E13="b6",Tabelle!$E$224,IF($E13="b7",Tabelle!$C$225,IF($E13="b8",Tabelle!$C$226,))))))))</f>
        <v>0</v>
      </c>
      <c r="L13" s="285">
        <f>IF($E13="c1",Tabelle!$J$213,IF($E13="c2",Tabelle!$J$214,IF($E13="c3",Tabelle!$J$215,IF($E13="c4",Tabelle!$J$216,IF($E13="c5",Tabelle!$J$217,IF($E13="c6",Tabelle!$J$218,))))))</f>
        <v>24655</v>
      </c>
      <c r="M13" s="285">
        <f>IF($E13="d1",Tabelle!$J$219,IF($E13="d2",Tabelle!$J$220,IF($E13="d3",Tabelle!$J$221,IF($E13="d4",Tabelle!$J$222,IF($E13="d5",Tabelle!$J$223,IF($E13="d6",Tabelle!$J$224,IF($E13="d7",Tabelle!$J$225,)))))))</f>
        <v>0</v>
      </c>
      <c r="N13" s="285">
        <f t="shared" si="1"/>
        <v>3262.130000000001</v>
      </c>
      <c r="O13" s="285"/>
      <c r="P13" s="285">
        <f>IF($E13="a1",Tabelle!$C$235,IF($E13="a2",Tabelle!$C$236,IF($E13="a3",Tabelle!$C$237,IF($E13="a4",Tabelle!$C$238,IF($E13="a5",Tabelle!$C$239,IF($E13="a6",Tabelle!$C$240,))))))</f>
        <v>0</v>
      </c>
      <c r="Q13" s="285">
        <f>IF($E13="b1",Tabelle!$C$241,IF($E13="b2",Tabelle!$C$242,IF($E13="b3",Tabelle!$C$243,IF($E13="b4",Tabelle!$C$244,IF($E13="b5",Tabelle!$C$245,IF($E13="b6",Tabelle!$C$246,IF($E13="b7",Tabelle!$C$247,IF($E13="b8",Tabelle!$C$248,))))))))</f>
        <v>0</v>
      </c>
      <c r="R13" s="285">
        <f>IF($E13="c1",Tabelle!$F$235,IF($E13="c2",Tabelle!$F$236,IF($E13="c3",Tabelle!$F$237,IF($E13="c4",Tabelle!$F$238,IF($E13="c5",Tabelle!$F$239,IF($E13="c6",Tabelle!$F$240,))))))</f>
        <v>123.27500000000001</v>
      </c>
      <c r="S13" s="285">
        <f>IF($E13="d1",Tabelle!$F$241,IF($E13="d2",Tabelle!$F$242,IF($E13="d3",Tabelle!$F$243,IF($E13="d4",Tabelle!$F$244,IF($E13="d5",Tabelle!$F$245,IF($E13="d6",Tabelle!$F$246,IF($E13="d7",Tabelle!$F$247,)))))))</f>
        <v>0</v>
      </c>
      <c r="T13" s="285">
        <f t="shared" si="2"/>
        <v>123.27500000000001</v>
      </c>
      <c r="U13" s="285">
        <f t="shared" si="3"/>
        <v>2064.8562500000003</v>
      </c>
      <c r="V13" s="285"/>
      <c r="W13" s="285">
        <f>IF($D13="A",Tabelle!$B$276,IF(OR($D13="B1",$D13="B3"),Tabelle!$B$277,IF($D13="C",Tabelle!$B$279,IF(OR($D13="D1",$D13="d3"),Tabelle!$B$280,))))</f>
        <v>52.08</v>
      </c>
      <c r="X13" s="285">
        <f>IF($D13="A",Tabelle!$C$276,IF(OR($D13="B1",$D13="B3"),Tabelle!$C$277,IF($D13="C",Tabelle!$C$279,IF(OR($D13="D1",$D13="d3"),Tabelle!$C$280,))))</f>
        <v>497.51999999999992</v>
      </c>
      <c r="Y13" s="285">
        <f t="shared" si="4"/>
        <v>52.08</v>
      </c>
      <c r="Z13" s="285">
        <f t="shared" si="5"/>
        <v>497.51999999999992</v>
      </c>
      <c r="AA13" s="285">
        <f t="shared" si="6"/>
        <v>27392.731250000004</v>
      </c>
      <c r="AB13" s="285">
        <f t="shared" si="7"/>
        <v>400.64374999999995</v>
      </c>
      <c r="AC13" s="87"/>
    </row>
    <row r="14" spans="1:29" s="23" customFormat="1" ht="21" customHeight="1" x14ac:dyDescent="0.25">
      <c r="A14" s="21"/>
      <c r="B14" s="21" t="s">
        <v>470</v>
      </c>
      <c r="C14" s="21" t="s">
        <v>471</v>
      </c>
      <c r="D14" s="296" t="s">
        <v>55</v>
      </c>
      <c r="E14" s="296" t="s">
        <v>34</v>
      </c>
      <c r="F14" s="296">
        <v>36</v>
      </c>
      <c r="G14" s="297">
        <f>IF(D14="a",Tabelle!$E$213,IF(D14="b1",Tabelle!$E$219,IF(D14="b3",Tabelle!$E$221,IF(D14="c",Tabelle!$J$213,IF(D14="d1",Tabelle!$J$219,IF(D14="d3",Tabelle!$J$221,))))))</f>
        <v>21392.87</v>
      </c>
      <c r="H14" s="296">
        <v>12</v>
      </c>
      <c r="I14" s="285">
        <f t="shared" si="0"/>
        <v>21392.87</v>
      </c>
      <c r="J14" s="285">
        <f>IF($E14="a1",Tabelle!$E$213,IF($E14="a2",Tabelle!$E$214,IF($E14="a3",Tabelle!$E$215,IF($E14="a4",Tabelle!$E$216,IF($E14="a5",Tabelle!$E$217,IF($E14="a6",Tabelle!$E$218,))))))</f>
        <v>0</v>
      </c>
      <c r="K14" s="285">
        <f>IF($E14="b1",Tabelle!$E$219,IF($E14="b2",Tabelle!$E$220,IF($E14="b3",Tabelle!$E$221,IF($E14="b4",Tabelle!$E$222,IF($E14="b5",Tabelle!$E$223,IF($E14="b6",Tabelle!$E$224,IF($E14="b7",Tabelle!$C$225,IF($E14="b8",Tabelle!$C$226,))))))))</f>
        <v>0</v>
      </c>
      <c r="L14" s="285">
        <f>IF($E14="c1",Tabelle!$J$213,IF($E14="c2",Tabelle!$J$214,IF($E14="c3",Tabelle!$J$215,IF($E14="c4",Tabelle!$J$216,IF($E14="c5",Tabelle!$J$217,IF($E14="c6",Tabelle!$J$218,))))))</f>
        <v>21392.87</v>
      </c>
      <c r="M14" s="285">
        <f>IF($E14="d1",Tabelle!$J$219,IF($E14="d2",Tabelle!$J$220,IF($E14="d3",Tabelle!$J$221,IF($E14="d4",Tabelle!$J$222,IF($E14="d5",Tabelle!$J$223,IF($E14="d6",Tabelle!$J$224,IF($E14="d7",Tabelle!$J$225,)))))))</f>
        <v>0</v>
      </c>
      <c r="N14" s="285">
        <f t="shared" si="1"/>
        <v>0</v>
      </c>
      <c r="O14" s="285"/>
      <c r="P14" s="285">
        <f>IF($E14="a1",Tabelle!$C$235,IF($E14="a2",Tabelle!$C$236,IF($E14="a3",Tabelle!$C$237,IF($E14="a4",Tabelle!$C$238,IF($E14="a5",Tabelle!$C$239,IF($E14="a6",Tabelle!$C$240,))))))</f>
        <v>0</v>
      </c>
      <c r="Q14" s="285">
        <f>IF($E14="b1",Tabelle!$C$241,IF($E14="b2",Tabelle!$C$242,IF($E14="b3",Tabelle!$C$243,IF($E14="b4",Tabelle!$C$244,IF($E14="b5",Tabelle!$C$245,IF($E14="b6",Tabelle!$C$246,IF($E14="b7",Tabelle!$C$247,IF($E14="b8",Tabelle!$C$248,))))))))</f>
        <v>0</v>
      </c>
      <c r="R14" s="285">
        <f>IF($E14="c1",Tabelle!$F$235,IF($E14="c2",Tabelle!$F$236,IF($E14="c3",Tabelle!$F$237,IF($E14="c4",Tabelle!$F$238,IF($E14="c5",Tabelle!$F$239,IF($E14="c6",Tabelle!$F$240,))))))</f>
        <v>106.96435</v>
      </c>
      <c r="S14" s="285">
        <f>IF($E14="d1",Tabelle!$F$241,IF($E14="d2",Tabelle!$F$242,IF($E14="d3",Tabelle!$F$243,IF($E14="d4",Tabelle!$F$244,IF($E14="d5",Tabelle!$F$245,IF($E14="d6",Tabelle!$F$246,IF($E14="d7",Tabelle!$F$247,)))))))</f>
        <v>0</v>
      </c>
      <c r="T14" s="285">
        <f t="shared" si="2"/>
        <v>106.96435</v>
      </c>
      <c r="U14" s="285">
        <f t="shared" si="3"/>
        <v>1791.6528624999999</v>
      </c>
      <c r="V14" s="285"/>
      <c r="W14" s="285">
        <f>IF($D14="A",Tabelle!$B$276,IF(OR($D14="B1",$D14="B3"),Tabelle!$B$277,IF($D14="C",Tabelle!$B$279,IF(OR($D14="D1",$D14="d3"),Tabelle!$B$280,))))</f>
        <v>52.08</v>
      </c>
      <c r="X14" s="285">
        <f>IF($D14="A",Tabelle!$C$276,IF(OR($D14="B1",$D14="B3"),Tabelle!$C$277,IF($D14="C",Tabelle!$C$279,IF(OR($D14="D1",$D14="d3"),Tabelle!$C$280,))))</f>
        <v>497.51999999999992</v>
      </c>
      <c r="Y14" s="285">
        <f t="shared" si="4"/>
        <v>52.08</v>
      </c>
      <c r="Z14" s="285">
        <f t="shared" si="5"/>
        <v>497.51999999999992</v>
      </c>
      <c r="AA14" s="285">
        <f t="shared" si="6"/>
        <v>23841.087212499999</v>
      </c>
      <c r="AB14" s="285">
        <f t="shared" si="7"/>
        <v>347.63413749999995</v>
      </c>
      <c r="AC14" s="87"/>
    </row>
    <row r="15" spans="1:29" s="23" customFormat="1" ht="21" customHeight="1" x14ac:dyDescent="0.25">
      <c r="A15" s="21"/>
      <c r="B15" s="21" t="s">
        <v>254</v>
      </c>
      <c r="C15" s="21" t="s">
        <v>461</v>
      </c>
      <c r="D15" s="296" t="s">
        <v>68</v>
      </c>
      <c r="E15" s="296" t="s">
        <v>20</v>
      </c>
      <c r="F15" s="296">
        <v>36</v>
      </c>
      <c r="G15" s="297">
        <f>IF(D15="a",Tabelle!$E$213,IF(D15="b1",Tabelle!$E$219,IF(D15="b3",Tabelle!$E$221,IF(D15="c",Tabelle!$J$213,IF(D15="d1",Tabelle!$J$219,IF(D15="d3",Tabelle!$J$221,))))))</f>
        <v>18044.370000000003</v>
      </c>
      <c r="H15" s="296">
        <v>12</v>
      </c>
      <c r="I15" s="285">
        <f t="shared" si="0"/>
        <v>18044.370000000003</v>
      </c>
      <c r="J15" s="285">
        <f>IF($E15="a1",Tabelle!$E$213,IF($E15="a2",Tabelle!$E$214,IF($E15="a3",Tabelle!$E$215,IF($E15="a4",Tabelle!$E$216,IF($E15="a5",Tabelle!$E$217,IF($E15="a6",Tabelle!$E$218,))))))</f>
        <v>18044.370000000003</v>
      </c>
      <c r="K15" s="285">
        <f>IF($E15="b1",Tabelle!$E$219,IF($E15="b2",Tabelle!$E$220,IF($E15="b3",Tabelle!$E$221,IF($E15="b4",Tabelle!$E$222,IF($E15="b5",Tabelle!$E$223,IF($E15="b6",Tabelle!$E$224,IF($E15="b7",Tabelle!$C$225,IF($E15="b8",Tabelle!$C$226,))))))))</f>
        <v>0</v>
      </c>
      <c r="L15" s="285">
        <f>IF($E15="c1",Tabelle!$J$213,IF($E15="c2",Tabelle!$J$214,IF($E15="c3",Tabelle!$J$215,IF($E15="c4",Tabelle!$J$216,IF($E15="c5",Tabelle!$J$217,IF($E15="c6",Tabelle!$J$218,))))))</f>
        <v>0</v>
      </c>
      <c r="M15" s="285">
        <f>IF($E15="d1",Tabelle!$J$219,IF($E15="d2",Tabelle!$J$220,IF($E15="d3",Tabelle!$J$221,IF($E15="d4",Tabelle!$J$222,IF($E15="d5",Tabelle!$J$223,IF($E15="d6",Tabelle!$J$224,IF($E15="d7",Tabelle!$J$225,)))))))</f>
        <v>0</v>
      </c>
      <c r="N15" s="285">
        <f t="shared" si="1"/>
        <v>0</v>
      </c>
      <c r="O15" s="285"/>
      <c r="P15" s="285">
        <f>IF($E15="a1",Tabelle!$C$235,IF($E15="a2",Tabelle!$C$236,IF($E15="a3",Tabelle!$C$237,IF($E15="a4",Tabelle!$C$238,IF($E15="a5",Tabelle!$C$239,IF($E15="a6",Tabelle!$C$240,))))))</f>
        <v>90.221850000000018</v>
      </c>
      <c r="Q15" s="285">
        <f>IF($E15="b1",Tabelle!$C$241,IF($E15="b2",Tabelle!$C$242,IF($E15="b3",Tabelle!$C$243,IF($E15="b4",Tabelle!$C$244,IF($E15="b5",Tabelle!$C$245,IF($E15="b6",Tabelle!$C$246,IF($E15="b7",Tabelle!$C$247,IF($E15="b8",Tabelle!$C$248,))))))))</f>
        <v>0</v>
      </c>
      <c r="R15" s="285">
        <f>IF($E15="c1",Tabelle!$F$235,IF($E15="c2",Tabelle!$F$236,IF($E15="c3",Tabelle!$F$237,IF($E15="c4",Tabelle!$F$238,IF($E15="c5",Tabelle!$F$239,IF($E15="c6",Tabelle!$F$240,))))))</f>
        <v>0</v>
      </c>
      <c r="S15" s="285">
        <f>IF($E15="d1",Tabelle!$F$241,IF($E15="d2",Tabelle!$F$242,IF($E15="d3",Tabelle!$F$243,IF($E15="d4",Tabelle!$F$244,IF($E15="d5",Tabelle!$F$245,IF($E15="d6",Tabelle!$F$246,IF($E15="d7",Tabelle!$F$247,)))))))</f>
        <v>0</v>
      </c>
      <c r="T15" s="285">
        <f t="shared" si="2"/>
        <v>90.221850000000018</v>
      </c>
      <c r="U15" s="285">
        <f t="shared" si="3"/>
        <v>1511.2159875000004</v>
      </c>
      <c r="V15" s="285">
        <f>Tabelle!$B$290/12*H15/36*F15</f>
        <v>64.56</v>
      </c>
      <c r="W15" s="285">
        <f>IF($D15="A",Tabelle!$B$276,IF(OR($D15="B1",$D15="B3"),Tabelle!$B$277,IF($D15="C",Tabelle!$B$279,IF(OR($D15="D1",$D15="d3"),Tabelle!$B$280,))))</f>
        <v>37.08</v>
      </c>
      <c r="X15" s="285">
        <f>IF($D15="A",Tabelle!$C$276,IF(OR($D15="B1",$D15="B3"),Tabelle!$C$277,IF($D15="C",Tabelle!$C$279,IF(OR($D15="D1",$D15="d3"),Tabelle!$C$280,))))</f>
        <v>351.6</v>
      </c>
      <c r="Y15" s="285">
        <f t="shared" si="4"/>
        <v>37.08</v>
      </c>
      <c r="Z15" s="285">
        <f t="shared" si="5"/>
        <v>351.6</v>
      </c>
      <c r="AA15" s="285">
        <f t="shared" si="6"/>
        <v>20099.047837500006</v>
      </c>
      <c r="AB15" s="285">
        <f t="shared" si="7"/>
        <v>293.22101250000003</v>
      </c>
      <c r="AC15" s="87"/>
    </row>
    <row r="16" spans="1:29" s="23" customFormat="1" ht="21" customHeight="1" x14ac:dyDescent="0.25">
      <c r="A16" s="21"/>
      <c r="B16" s="21" t="s">
        <v>211</v>
      </c>
      <c r="C16" s="21" t="s">
        <v>458</v>
      </c>
      <c r="D16" s="296" t="s">
        <v>26</v>
      </c>
      <c r="E16" s="296" t="s">
        <v>28</v>
      </c>
      <c r="F16" s="296">
        <v>36</v>
      </c>
      <c r="G16" s="297">
        <f>IF(D16="a",Tabelle!$E$213,IF(D16="b1",Tabelle!$E$219,IF(D16="b3",Tabelle!$E$221,IF(D16="c",Tabelle!$J$213,IF(D16="d1",Tabelle!$J$219,IF(D16="d3",Tabelle!$J$221,))))))</f>
        <v>19034.509999999998</v>
      </c>
      <c r="H16" s="296">
        <v>12</v>
      </c>
      <c r="I16" s="285">
        <f t="shared" si="0"/>
        <v>19034.509999999998</v>
      </c>
      <c r="J16" s="285">
        <f>IF($E16="a1",Tabelle!$E$213,IF($E16="a2",Tabelle!$E$214,IF($E16="a3",Tabelle!$E$215,IF($E16="a4",Tabelle!$E$216,IF($E16="a5",Tabelle!$E$217,IF($E16="a6",Tabelle!$E$218,))))))</f>
        <v>0</v>
      </c>
      <c r="K16" s="285">
        <f>IF($E16="b1",Tabelle!$E$219,IF($E16="b2",Tabelle!$E$220,IF($E16="b3",Tabelle!$E$221,IF($E16="b4",Tabelle!$E$222,IF($E16="b5",Tabelle!$E$223,IF($E16="b6",Tabelle!$E$224,IF($E16="b7",Tabelle!$C$225,IF($E16="b8",Tabelle!$C$226,))))))))</f>
        <v>20072.88</v>
      </c>
      <c r="L16" s="285">
        <f>IF($E16="c1",Tabelle!$J$213,IF($E16="c2",Tabelle!$J$214,IF($E16="c3",Tabelle!$J$215,IF($E16="c4",Tabelle!$J$216,IF($E16="c5",Tabelle!$J$217,IF($E16="c6",Tabelle!$J$218,))))))</f>
        <v>0</v>
      </c>
      <c r="M16" s="285">
        <f>IF($E16="d1",Tabelle!$J$219,IF($E16="d2",Tabelle!$J$220,IF($E16="d3",Tabelle!$J$221,IF($E16="d4",Tabelle!$J$222,IF($E16="d5",Tabelle!$J$223,IF($E16="d6",Tabelle!$J$224,IF($E16="d7",Tabelle!$J$225,)))))))</f>
        <v>0</v>
      </c>
      <c r="N16" s="285">
        <f t="shared" si="1"/>
        <v>1038.3700000000026</v>
      </c>
      <c r="O16" s="285"/>
      <c r="P16" s="285">
        <f>IF($E16="a1",Tabelle!$C$235,IF($E16="a2",Tabelle!$C$236,IF($E16="a3",Tabelle!$C$237,IF($E16="a4",Tabelle!$C$238,IF($E16="a5",Tabelle!$C$239,IF($E16="a6",Tabelle!$C$240,))))))</f>
        <v>0</v>
      </c>
      <c r="Q16" s="285">
        <f>IF($E16="b1",Tabelle!$C$241,IF($E16="b2",Tabelle!$C$242,IF($E16="b3",Tabelle!$C$243,IF($E16="b4",Tabelle!$C$244,IF($E16="b5",Tabelle!$C$245,IF($E16="b6",Tabelle!$C$246,IF($E16="b7",Tabelle!$C$247,IF($E16="b8",Tabelle!$C$248,))))))))</f>
        <v>100.3644</v>
      </c>
      <c r="R16" s="285">
        <f>IF($E16="c1",Tabelle!$F$235,IF($E16="c2",Tabelle!$F$236,IF($E16="c3",Tabelle!$F$237,IF($E16="c4",Tabelle!$F$238,IF($E16="c5",Tabelle!$F$239,IF($E16="c6",Tabelle!$F$240,))))))</f>
        <v>0</v>
      </c>
      <c r="S16" s="285">
        <f>IF($E16="d1",Tabelle!$F$241,IF($E16="d2",Tabelle!$F$242,IF($E16="d3",Tabelle!$F$243,IF($E16="d4",Tabelle!$F$244,IF($E16="d5",Tabelle!$F$245,IF($E16="d6",Tabelle!$F$246,IF($E16="d7",Tabelle!$F$247,)))))))</f>
        <v>0</v>
      </c>
      <c r="T16" s="285">
        <f t="shared" si="2"/>
        <v>100.36439999999999</v>
      </c>
      <c r="U16" s="285">
        <f t="shared" si="3"/>
        <v>1681.1036999999999</v>
      </c>
      <c r="V16" s="285">
        <f>Tabelle!$B$290/12*H16/36*F16</f>
        <v>64.56</v>
      </c>
      <c r="W16" s="285">
        <f>IF($D16="A",Tabelle!$B$276,IF(OR($D16="B1",$D16="B3"),Tabelle!$B$277,IF($D16="C",Tabelle!$B$279,IF(OR($D16="D1",$D16="d3"),Tabelle!$B$280,))))</f>
        <v>44.76</v>
      </c>
      <c r="X16" s="285">
        <f>IF($D16="A",Tabelle!$C$276,IF(OR($D16="B1",$D16="B3"),Tabelle!$C$277,IF($D16="C",Tabelle!$C$279,IF(OR($D16="D1",$D16="d3"),Tabelle!$C$280,))))</f>
        <v>426.84</v>
      </c>
      <c r="Y16" s="285">
        <f t="shared" si="4"/>
        <v>44.759999999999991</v>
      </c>
      <c r="Z16" s="285">
        <f t="shared" si="5"/>
        <v>426.84000000000003</v>
      </c>
      <c r="AA16" s="285">
        <f t="shared" si="6"/>
        <v>22390.508099999999</v>
      </c>
      <c r="AB16" s="285">
        <f t="shared" si="7"/>
        <v>326.18430000000001</v>
      </c>
      <c r="AC16" s="87"/>
    </row>
    <row r="17" spans="1:30" s="23" customFormat="1" ht="21" customHeight="1" x14ac:dyDescent="0.25">
      <c r="A17" s="21"/>
      <c r="B17" s="21" t="s">
        <v>255</v>
      </c>
      <c r="C17" s="21" t="s">
        <v>461</v>
      </c>
      <c r="D17" s="296" t="s">
        <v>68</v>
      </c>
      <c r="E17" s="296" t="s">
        <v>20</v>
      </c>
      <c r="F17" s="296">
        <v>36</v>
      </c>
      <c r="G17" s="297">
        <f>IF(D17="a",Tabelle!$E$213,IF(D17="b1",Tabelle!$E$219,IF(D17="b3",Tabelle!$E$221,IF(D17="c",Tabelle!$J$213,IF(D17="d1",Tabelle!$J$219,IF(D17="d3",Tabelle!$J$221,))))))</f>
        <v>18044.370000000003</v>
      </c>
      <c r="H17" s="296">
        <v>12</v>
      </c>
      <c r="I17" s="285">
        <f t="shared" si="0"/>
        <v>18044.370000000003</v>
      </c>
      <c r="J17" s="285">
        <f>IF($E17="a1",Tabelle!$E$213,IF($E17="a2",Tabelle!$E$214,IF($E17="a3",Tabelle!$E$215,IF($E17="a4",Tabelle!$E$216,IF($E17="a5",Tabelle!$E$217,IF($E17="a6",Tabelle!$E$218,))))))</f>
        <v>18044.370000000003</v>
      </c>
      <c r="K17" s="285">
        <f>IF($E17="b1",Tabelle!$E$219,IF($E17="b2",Tabelle!$E$220,IF($E17="b3",Tabelle!$E$221,IF($E17="b4",Tabelle!$E$222,IF($E17="b5",Tabelle!$E$223,IF($E17="b6",Tabelle!$E$224,IF($E17="b7",Tabelle!$C$225,IF($E17="b8",Tabelle!$C$226,))))))))</f>
        <v>0</v>
      </c>
      <c r="L17" s="285">
        <f>IF($E17="c1",Tabelle!$J$213,IF($E17="c2",Tabelle!$J$214,IF($E17="c3",Tabelle!$J$215,IF($E17="c4",Tabelle!$J$216,IF($E17="c5",Tabelle!$J$217,IF($E17="c6",Tabelle!$J$218,))))))</f>
        <v>0</v>
      </c>
      <c r="M17" s="285">
        <f>IF($E17="d1",Tabelle!$J$219,IF($E17="d2",Tabelle!$J$220,IF($E17="d3",Tabelle!$J$221,IF($E17="d4",Tabelle!$J$222,IF($E17="d5",Tabelle!$J$223,IF($E17="d6",Tabelle!$J$224,IF($E17="d7",Tabelle!$J$225,)))))))</f>
        <v>0</v>
      </c>
      <c r="N17" s="285">
        <f t="shared" si="1"/>
        <v>0</v>
      </c>
      <c r="O17" s="285"/>
      <c r="P17" s="285">
        <f>IF($E17="a1",Tabelle!$C$235,IF($E17="a2",Tabelle!$C$236,IF($E17="a3",Tabelle!$C$237,IF($E17="a4",Tabelle!$C$238,IF($E17="a5",Tabelle!$C$239,IF($E17="a6",Tabelle!$C$240,))))))</f>
        <v>90.221850000000018</v>
      </c>
      <c r="Q17" s="285">
        <f>IF($E17="b1",Tabelle!$C$241,IF($E17="b2",Tabelle!$C$242,IF($E17="b3",Tabelle!$C$243,IF($E17="b4",Tabelle!$C$244,IF($E17="b5",Tabelle!$C$245,IF($E17="b6",Tabelle!$C$246,IF($E17="b7",Tabelle!$C$247,IF($E17="b8",Tabelle!$C$248,))))))))</f>
        <v>0</v>
      </c>
      <c r="R17" s="285">
        <f>IF($E17="c1",Tabelle!$F$235,IF($E17="c2",Tabelle!$F$236,IF($E17="c3",Tabelle!$F$237,IF($E17="c4",Tabelle!$F$238,IF($E17="c5",Tabelle!$F$239,IF($E17="c6",Tabelle!$F$240,))))))</f>
        <v>0</v>
      </c>
      <c r="S17" s="285">
        <f>IF($E17="d1",Tabelle!$F$241,IF($E17="d2",Tabelle!$F$242,IF($E17="d3",Tabelle!$F$243,IF($E17="d4",Tabelle!$F$244,IF($E17="d5",Tabelle!$F$245,IF($E17="d6",Tabelle!$F$246,IF($E17="d7",Tabelle!$F$247,)))))))</f>
        <v>0</v>
      </c>
      <c r="T17" s="285">
        <f t="shared" si="2"/>
        <v>90.221850000000018</v>
      </c>
      <c r="U17" s="285">
        <f t="shared" si="3"/>
        <v>1511.2159875000004</v>
      </c>
      <c r="V17" s="285">
        <f>Tabelle!$B$290/12*H17/36*F17</f>
        <v>64.56</v>
      </c>
      <c r="W17" s="285">
        <f>IF($D17="A",Tabelle!$B$276,IF(OR($D17="B1",$D17="B3"),Tabelle!$B$277,IF($D17="C",Tabelle!$B$279,IF(OR($D17="D1",$D17="d3"),Tabelle!$B$280,))))</f>
        <v>37.08</v>
      </c>
      <c r="X17" s="285">
        <f>IF($D17="A",Tabelle!$C$276,IF(OR($D17="B1",$D17="B3"),Tabelle!$C$277,IF($D17="C",Tabelle!$C$279,IF(OR($D17="D1",$D17="d3"),Tabelle!$C$280,))))</f>
        <v>351.6</v>
      </c>
      <c r="Y17" s="285">
        <f t="shared" si="4"/>
        <v>37.08</v>
      </c>
      <c r="Z17" s="285">
        <f t="shared" si="5"/>
        <v>351.6</v>
      </c>
      <c r="AA17" s="285">
        <f t="shared" si="6"/>
        <v>20099.047837500006</v>
      </c>
      <c r="AB17" s="285">
        <f t="shared" si="7"/>
        <v>293.22101250000003</v>
      </c>
      <c r="AC17" s="87"/>
    </row>
    <row r="18" spans="1:30" s="23" customFormat="1" ht="21" customHeight="1" x14ac:dyDescent="0.25">
      <c r="A18" s="21"/>
      <c r="B18" s="21" t="s">
        <v>462</v>
      </c>
      <c r="C18" s="21" t="s">
        <v>461</v>
      </c>
      <c r="D18" s="296" t="s">
        <v>68</v>
      </c>
      <c r="E18" s="296" t="s">
        <v>20</v>
      </c>
      <c r="F18" s="296">
        <v>36</v>
      </c>
      <c r="G18" s="297">
        <f>IF(D18="a",Tabelle!$E$213,IF(D18="b1",Tabelle!$E$219,IF(D18="b3",Tabelle!$E$221,IF(D18="c",Tabelle!$J$213,IF(D18="d1",Tabelle!$J$219,IF(D18="d3",Tabelle!$J$221,))))))</f>
        <v>18044.370000000003</v>
      </c>
      <c r="H18" s="296">
        <v>12</v>
      </c>
      <c r="I18" s="285">
        <f t="shared" si="0"/>
        <v>18044.370000000003</v>
      </c>
      <c r="J18" s="285">
        <f>IF($E18="a1",Tabelle!$E$213,IF($E18="a2",Tabelle!$E$214,IF($E18="a3",Tabelle!$E$215,IF($E18="a4",Tabelle!$E$216,IF($E18="a5",Tabelle!$E$217,IF($E18="a6",Tabelle!$E$218,))))))</f>
        <v>18044.370000000003</v>
      </c>
      <c r="K18" s="285">
        <f>IF($E18="b1",Tabelle!$E$219,IF($E18="b2",Tabelle!$E$220,IF($E18="b3",Tabelle!$E$221,IF($E18="b4",Tabelle!$E$222,IF($E18="b5",Tabelle!$E$223,IF($E18="b6",Tabelle!$E$224,IF($E18="b7",Tabelle!$C$225,IF($E18="b8",Tabelle!$C$226,))))))))</f>
        <v>0</v>
      </c>
      <c r="L18" s="285">
        <f>IF($E18="c1",Tabelle!$J$213,IF($E18="c2",Tabelle!$J$214,IF($E18="c3",Tabelle!$J$215,IF($E18="c4",Tabelle!$J$216,IF($E18="c5",Tabelle!$J$217,IF($E18="c6",Tabelle!$J$218,))))))</f>
        <v>0</v>
      </c>
      <c r="M18" s="285">
        <f>IF($E18="d1",Tabelle!$J$219,IF($E18="d2",Tabelle!$J$220,IF($E18="d3",Tabelle!$J$221,IF($E18="d4",Tabelle!$J$222,IF($E18="d5",Tabelle!$J$223,IF($E18="d6",Tabelle!$J$224,IF($E18="d7",Tabelle!$J$225,)))))))</f>
        <v>0</v>
      </c>
      <c r="N18" s="285">
        <f t="shared" si="1"/>
        <v>0</v>
      </c>
      <c r="O18" s="285"/>
      <c r="P18" s="285">
        <f>IF($E18="a1",Tabelle!$C$235,IF($E18="a2",Tabelle!$C$236,IF($E18="a3",Tabelle!$C$237,IF($E18="a4",Tabelle!$C$238,IF($E18="a5",Tabelle!$C$239,IF($E18="a6",Tabelle!$C$240,))))))</f>
        <v>90.221850000000018</v>
      </c>
      <c r="Q18" s="285">
        <f>IF($E18="b1",Tabelle!$C$241,IF($E18="b2",Tabelle!$C$242,IF($E18="b3",Tabelle!$C$243,IF($E18="b4",Tabelle!$C$244,IF($E18="b5",Tabelle!$C$245,IF($E18="b6",Tabelle!$C$246,IF($E18="b7",Tabelle!$C$247,IF($E18="b8",Tabelle!$C$248,))))))))</f>
        <v>0</v>
      </c>
      <c r="R18" s="285">
        <f>IF($E18="c1",Tabelle!$F$235,IF($E18="c2",Tabelle!$F$236,IF($E18="c3",Tabelle!$F$237,IF($E18="c4",Tabelle!$F$238,IF($E18="c5",Tabelle!$F$239,IF($E18="c6",Tabelle!$F$240,))))))</f>
        <v>0</v>
      </c>
      <c r="S18" s="285">
        <f>IF($E18="d1",Tabelle!$F$241,IF($E18="d2",Tabelle!$F$242,IF($E18="d3",Tabelle!$F$243,IF($E18="d4",Tabelle!$F$244,IF($E18="d5",Tabelle!$F$245,IF($E18="d6",Tabelle!$F$246,IF($E18="d7",Tabelle!$F$247,)))))))</f>
        <v>0</v>
      </c>
      <c r="T18" s="285">
        <f t="shared" si="2"/>
        <v>90.221850000000018</v>
      </c>
      <c r="U18" s="285">
        <f t="shared" si="3"/>
        <v>1511.2159875000004</v>
      </c>
      <c r="V18" s="285">
        <f>Tabelle!$B$290/12*H18/36*F18</f>
        <v>64.56</v>
      </c>
      <c r="W18" s="285">
        <f>IF($D18="A",Tabelle!$B$276,IF(OR($D18="B1",$D18="B3"),Tabelle!$B$277,IF($D18="C",Tabelle!$B$279,IF(OR($D18="D1",$D18="d3"),Tabelle!$B$280,))))</f>
        <v>37.08</v>
      </c>
      <c r="X18" s="285">
        <f>IF($D18="A",Tabelle!$C$276,IF(OR($D18="B1",$D18="B3"),Tabelle!$C$277,IF($D18="C",Tabelle!$C$279,IF(OR($D18="D1",$D18="d3"),Tabelle!$C$280,))))</f>
        <v>351.6</v>
      </c>
      <c r="Y18" s="285">
        <f t="shared" si="4"/>
        <v>37.08</v>
      </c>
      <c r="Z18" s="285">
        <f t="shared" si="5"/>
        <v>351.6</v>
      </c>
      <c r="AA18" s="285">
        <f t="shared" si="6"/>
        <v>20099.047837500006</v>
      </c>
      <c r="AB18" s="285">
        <f t="shared" si="7"/>
        <v>293.22101250000003</v>
      </c>
      <c r="AC18" s="87"/>
    </row>
    <row r="19" spans="1:30" s="23" customFormat="1" ht="21" customHeight="1" x14ac:dyDescent="0.25">
      <c r="A19" s="21"/>
      <c r="B19" s="21" t="s">
        <v>232</v>
      </c>
      <c r="C19" s="21" t="s">
        <v>456</v>
      </c>
      <c r="D19" s="296" t="s">
        <v>55</v>
      </c>
      <c r="E19" s="296" t="s">
        <v>36</v>
      </c>
      <c r="F19" s="296">
        <v>36</v>
      </c>
      <c r="G19" s="297">
        <f>IF(D19="a",Tabelle!$E$213,IF(D19="b1",Tabelle!$E$219,IF(D19="b3",Tabelle!$E$221,IF(D19="c",Tabelle!$J$213,IF(D19="d1",Tabelle!$J$219,IF(D19="d3",Tabelle!$J$221,))))))</f>
        <v>21392.87</v>
      </c>
      <c r="H19" s="296">
        <v>12</v>
      </c>
      <c r="I19" s="285">
        <f t="shared" si="0"/>
        <v>21392.87</v>
      </c>
      <c r="J19" s="285">
        <f>IF($E19="a1",Tabelle!$E$213,IF($E19="a2",Tabelle!$E$214,IF($E19="a3",Tabelle!$E$215,IF($E19="a4",Tabelle!$E$216,IF($E19="a5",Tabelle!$E$217,IF($E19="a6",Tabelle!$E$218,))))))</f>
        <v>0</v>
      </c>
      <c r="K19" s="285">
        <f>IF($E19="b1",Tabelle!$E$219,IF($E19="b2",Tabelle!$E$220,IF($E19="b3",Tabelle!$E$221,IF($E19="b4",Tabelle!$E$222,IF($E19="b5",Tabelle!$E$223,IF($E19="b6",Tabelle!$E$224,IF($E19="b7",Tabelle!$C$225,IF($E19="b8",Tabelle!$C$226,))))))))</f>
        <v>0</v>
      </c>
      <c r="L19" s="285">
        <f>IF($E19="c1",Tabelle!$J$213,IF($E19="c2",Tabelle!$J$214,IF($E19="c3",Tabelle!$J$215,IF($E19="c4",Tabelle!$J$216,IF($E19="c5",Tabelle!$J$217,IF($E19="c6",Tabelle!$J$218,))))))</f>
        <v>22469.779999999995</v>
      </c>
      <c r="M19" s="285">
        <f>IF($E19="d1",Tabelle!$J$219,IF($E19="d2",Tabelle!$J$220,IF($E19="d3",Tabelle!$J$221,IF($E19="d4",Tabelle!$J$222,IF($E19="d5",Tabelle!$J$223,IF($E19="d6",Tabelle!$J$224,IF($E19="d7",Tabelle!$J$225,)))))))</f>
        <v>0</v>
      </c>
      <c r="N19" s="285">
        <f t="shared" si="1"/>
        <v>1076.9099999999962</v>
      </c>
      <c r="O19" s="285"/>
      <c r="P19" s="285">
        <f>IF($E19="a1",Tabelle!$C$235,IF($E19="a2",Tabelle!$C$236,IF($E19="a3",Tabelle!$C$237,IF($E19="a4",Tabelle!$C$238,IF($E19="a5",Tabelle!$C$239,IF($E19="a6",Tabelle!$C$240,))))))</f>
        <v>0</v>
      </c>
      <c r="Q19" s="285">
        <f>IF($E19="b1",Tabelle!$C$241,IF($E19="b2",Tabelle!$C$242,IF($E19="b3",Tabelle!$C$243,IF($E19="b4",Tabelle!$C$244,IF($E19="b5",Tabelle!$C$245,IF($E19="b6",Tabelle!$C$246,IF($E19="b7",Tabelle!$C$247,IF($E19="b8",Tabelle!$C$248,))))))))</f>
        <v>0</v>
      </c>
      <c r="R19" s="285">
        <f>IF($E19="c1",Tabelle!$F$235,IF($E19="c2",Tabelle!$F$236,IF($E19="c3",Tabelle!$F$237,IF($E19="c4",Tabelle!$F$238,IF($E19="c5",Tabelle!$F$239,IF($E19="c6",Tabelle!$F$240,))))))</f>
        <v>112.34889999999997</v>
      </c>
      <c r="S19" s="285">
        <f>IF($E19="d1",Tabelle!$F$241,IF($E19="d2",Tabelle!$F$242,IF($E19="d3",Tabelle!$F$243,IF($E19="d4",Tabelle!$F$244,IF($E19="d5",Tabelle!$F$245,IF($E19="d6",Tabelle!$F$246,IF($E19="d7",Tabelle!$F$247,)))))))</f>
        <v>0</v>
      </c>
      <c r="T19" s="285">
        <f t="shared" si="2"/>
        <v>112.34889999999997</v>
      </c>
      <c r="U19" s="285">
        <f t="shared" si="3"/>
        <v>1881.8440749999997</v>
      </c>
      <c r="V19" s="285"/>
      <c r="W19" s="285">
        <f>IF($D19="A",Tabelle!$B$276,IF(OR($D19="B1",$D19="B3"),Tabelle!$B$277,IF($D19="C",Tabelle!$B$279,IF(OR($D19="D1",$D19="d3"),Tabelle!$B$280,))))</f>
        <v>52.08</v>
      </c>
      <c r="X19" s="285">
        <f>IF($D19="A",Tabelle!$C$276,IF(OR($D19="B1",$D19="B3"),Tabelle!$C$277,IF($D19="C",Tabelle!$C$279,IF(OR($D19="D1",$D19="d3"),Tabelle!$C$280,))))</f>
        <v>497.51999999999992</v>
      </c>
      <c r="Y19" s="285">
        <f t="shared" si="4"/>
        <v>52.08</v>
      </c>
      <c r="Z19" s="285">
        <f t="shared" si="5"/>
        <v>497.51999999999992</v>
      </c>
      <c r="AA19" s="285">
        <f t="shared" si="6"/>
        <v>25013.572974999999</v>
      </c>
      <c r="AB19" s="285">
        <f t="shared" si="7"/>
        <v>365.13392499999992</v>
      </c>
      <c r="AC19" s="87"/>
    </row>
    <row r="20" spans="1:30" s="23" customFormat="1" ht="21" customHeight="1" x14ac:dyDescent="0.25">
      <c r="A20" s="21"/>
      <c r="B20" s="21" t="s">
        <v>209</v>
      </c>
      <c r="C20" s="21" t="s">
        <v>476</v>
      </c>
      <c r="D20" s="296" t="s">
        <v>68</v>
      </c>
      <c r="E20" s="296" t="s">
        <v>21</v>
      </c>
      <c r="F20" s="296">
        <v>36</v>
      </c>
      <c r="G20" s="297">
        <f>IF(D20="a",Tabelle!$E$213,IF(D20="b1",Tabelle!$E$219,IF(D20="b3",Tabelle!$E$221,IF(D20="c",Tabelle!$J$213,IF(D20="d1",Tabelle!$J$219,IF(D20="d3",Tabelle!$J$221,))))))</f>
        <v>18044.370000000003</v>
      </c>
      <c r="H20" s="296">
        <v>12</v>
      </c>
      <c r="I20" s="285">
        <f t="shared" si="0"/>
        <v>18044.370000000003</v>
      </c>
      <c r="J20" s="285">
        <f>IF($E20="a1",Tabelle!$E$213,IF($E20="a2",Tabelle!$E$214,IF($E20="a3",Tabelle!$E$215,IF($E20="a4",Tabelle!$E$216,IF($E20="a5",Tabelle!$E$217,IF($E20="a6",Tabelle!$E$218,))))))</f>
        <v>18283.310000000001</v>
      </c>
      <c r="K20" s="285">
        <f>IF($E20="b1",Tabelle!$E$219,IF($E20="b2",Tabelle!$E$220,IF($E20="b3",Tabelle!$E$221,IF($E20="b4",Tabelle!$E$222,IF($E20="b5",Tabelle!$E$223,IF($E20="b6",Tabelle!$E$224,IF($E20="b7",Tabelle!$C$225,IF($E20="b8",Tabelle!$C$226,))))))))</f>
        <v>0</v>
      </c>
      <c r="L20" s="285">
        <f>IF($E20="c1",Tabelle!$J$213,IF($E20="c2",Tabelle!$J$214,IF($E20="c3",Tabelle!$J$215,IF($E20="c4",Tabelle!$J$216,IF($E20="c5",Tabelle!$J$217,IF($E20="c6",Tabelle!$J$218,))))))</f>
        <v>0</v>
      </c>
      <c r="M20" s="285">
        <f>IF($E20="d1",Tabelle!$J$219,IF($E20="d2",Tabelle!$J$220,IF($E20="d3",Tabelle!$J$221,IF($E20="d4",Tabelle!$J$222,IF($E20="d5",Tabelle!$J$223,IF($E20="d6",Tabelle!$J$224,IF($E20="d7",Tabelle!$J$225,)))))))</f>
        <v>0</v>
      </c>
      <c r="N20" s="285">
        <f t="shared" si="1"/>
        <v>238.93999999999869</v>
      </c>
      <c r="O20" s="285"/>
      <c r="P20" s="285">
        <f>IF($E20="a1",Tabelle!$C$235,IF($E20="a2",Tabelle!$C$236,IF($E20="a3",Tabelle!$C$237,IF($E20="a4",Tabelle!$C$238,IF($E20="a5",Tabelle!$C$239,IF($E20="a6",Tabelle!$C$240,))))))</f>
        <v>91.416550000000015</v>
      </c>
      <c r="Q20" s="285">
        <f>IF($E20="b1",Tabelle!$C$241,IF($E20="b2",Tabelle!$C$242,IF($E20="b3",Tabelle!$C$243,IF($E20="b4",Tabelle!$C$244,IF($E20="b5",Tabelle!$C$245,IF($E20="b6",Tabelle!$C$246,IF($E20="b7",Tabelle!$C$247,IF($E20="b8",Tabelle!$C$248,))))))))</f>
        <v>0</v>
      </c>
      <c r="R20" s="285">
        <f>IF($E20="c1",Tabelle!$F$235,IF($E20="c2",Tabelle!$F$236,IF($E20="c3",Tabelle!$F$237,IF($E20="c4",Tabelle!$F$238,IF($E20="c5",Tabelle!$F$239,IF($E20="c6",Tabelle!$F$240,))))))</f>
        <v>0</v>
      </c>
      <c r="S20" s="285">
        <f>IF($E20="d1",Tabelle!$F$241,IF($E20="d2",Tabelle!$F$242,IF($E20="d3",Tabelle!$F$243,IF($E20="d4",Tabelle!$F$244,IF($E20="d5",Tabelle!$F$245,IF($E20="d6",Tabelle!$F$246,IF($E20="d7",Tabelle!$F$247,)))))))</f>
        <v>0</v>
      </c>
      <c r="T20" s="285">
        <f t="shared" si="2"/>
        <v>91.416550000000015</v>
      </c>
      <c r="U20" s="285">
        <f t="shared" si="3"/>
        <v>1531.2272125000002</v>
      </c>
      <c r="V20" s="285">
        <f>Tabelle!$B$290/12*H20/36*F20</f>
        <v>64.56</v>
      </c>
      <c r="W20" s="285">
        <f>IF($D20="A",Tabelle!$B$276,IF(OR($D20="B1",$D20="B3"),Tabelle!$B$277,IF($D20="C",Tabelle!$B$279,IF(OR($D20="D1",$D20="d3"),Tabelle!$B$280,))))</f>
        <v>37.08</v>
      </c>
      <c r="X20" s="285">
        <f>IF($D20="A",Tabelle!$C$276,IF(OR($D20="B1",$D20="B3"),Tabelle!$C$277,IF($D20="C",Tabelle!$C$279,IF(OR($D20="D1",$D20="d3"),Tabelle!$C$280,))))</f>
        <v>351.6</v>
      </c>
      <c r="Y20" s="285">
        <f t="shared" si="4"/>
        <v>37.08</v>
      </c>
      <c r="Z20" s="285">
        <f t="shared" si="5"/>
        <v>351.6</v>
      </c>
      <c r="AA20" s="285">
        <f t="shared" si="6"/>
        <v>20359.193762500006</v>
      </c>
      <c r="AB20" s="285">
        <f t="shared" si="7"/>
        <v>297.10378750000007</v>
      </c>
      <c r="AC20" s="87"/>
    </row>
    <row r="21" spans="1:30" s="23" customFormat="1" ht="21" customHeight="1" x14ac:dyDescent="0.25">
      <c r="A21" s="21"/>
      <c r="B21" s="21" t="s">
        <v>482</v>
      </c>
      <c r="C21" s="21" t="s">
        <v>469</v>
      </c>
      <c r="D21" s="296" t="s">
        <v>55</v>
      </c>
      <c r="E21" s="296" t="s">
        <v>39</v>
      </c>
      <c r="F21" s="296">
        <v>36</v>
      </c>
      <c r="G21" s="297">
        <f>IF(D21="a",Tabelle!$E$213,IF(D21="b1",Tabelle!$E$219,IF(D21="b3",Tabelle!$E$221,IF(D21="c",Tabelle!$J$213,IF(D21="d1",Tabelle!$J$219,IF(D21="d3",Tabelle!$J$221,))))))</f>
        <v>21392.87</v>
      </c>
      <c r="H21" s="296">
        <v>12</v>
      </c>
      <c r="I21" s="285">
        <f t="shared" si="0"/>
        <v>21392.87</v>
      </c>
      <c r="J21" s="285">
        <f>IF($E21="a1",Tabelle!$E$213,IF($E21="a2",Tabelle!$E$214,IF($E21="a3",Tabelle!$E$215,IF($E21="a4",Tabelle!$E$216,IF($E21="a5",Tabelle!$E$217,IF($E21="a6",Tabelle!$E$218,))))))</f>
        <v>0</v>
      </c>
      <c r="K21" s="285">
        <f>IF($E21="b1",Tabelle!$E$219,IF($E21="b2",Tabelle!$E$220,IF($E21="b3",Tabelle!$E$221,IF($E21="b4",Tabelle!$E$222,IF($E21="b5",Tabelle!$E$223,IF($E21="b6",Tabelle!$E$224,IF($E21="b7",Tabelle!$C$225,IF($E21="b8",Tabelle!$C$226,))))))))</f>
        <v>0</v>
      </c>
      <c r="L21" s="285">
        <f>IF($E21="c1",Tabelle!$J$213,IF($E21="c2",Tabelle!$J$214,IF($E21="c3",Tabelle!$J$215,IF($E21="c4",Tabelle!$J$216,IF($E21="c5",Tabelle!$J$217,IF($E21="c6",Tabelle!$J$218,))))))</f>
        <v>24655</v>
      </c>
      <c r="M21" s="285">
        <f>IF($E21="d1",Tabelle!$J$219,IF($E21="d2",Tabelle!$J$220,IF($E21="d3",Tabelle!$J$221,IF($E21="d4",Tabelle!$J$222,IF($E21="d5",Tabelle!$J$223,IF($E21="d6",Tabelle!$J$224,IF($E21="d7",Tabelle!$J$225,)))))))</f>
        <v>0</v>
      </c>
      <c r="N21" s="285">
        <f t="shared" si="1"/>
        <v>3262.130000000001</v>
      </c>
      <c r="O21" s="285">
        <f>42.64*H21</f>
        <v>511.68</v>
      </c>
      <c r="P21" s="285">
        <f>IF($E21="a1",Tabelle!$C$235,IF($E21="a2",Tabelle!$C$236,IF($E21="a3",Tabelle!$C$237,IF($E21="a4",Tabelle!$C$238,IF($E21="a5",Tabelle!$C$239,IF($E21="a6",Tabelle!$C$240,))))))</f>
        <v>0</v>
      </c>
      <c r="Q21" s="285">
        <f>IF($E21="b1",Tabelle!$C$241,IF($E21="b2",Tabelle!$C$242,IF($E21="b3",Tabelle!$C$243,IF($E21="b4",Tabelle!$C$244,IF($E21="b5",Tabelle!$C$245,IF($E21="b6",Tabelle!$C$246,IF($E21="b7",Tabelle!$C$247,IF($E21="b8",Tabelle!$C$248,))))))))</f>
        <v>0</v>
      </c>
      <c r="R21" s="285">
        <f>IF($E21="c1",Tabelle!$F$235,IF($E21="c2",Tabelle!$F$236,IF($E21="c3",Tabelle!$F$237,IF($E21="c4",Tabelle!$F$238,IF($E21="c5",Tabelle!$F$239,IF($E21="c6",Tabelle!$F$240,))))))</f>
        <v>123.27500000000001</v>
      </c>
      <c r="S21" s="285">
        <f>IF($E21="d1",Tabelle!$F$241,IF($E21="d2",Tabelle!$F$242,IF($E21="d3",Tabelle!$F$243,IF($E21="d4",Tabelle!$F$244,IF($E21="d5",Tabelle!$F$245,IF($E21="d6",Tabelle!$F$246,IF($E21="d7",Tabelle!$F$247,)))))))</f>
        <v>0</v>
      </c>
      <c r="T21" s="285">
        <f t="shared" si="2"/>
        <v>123.27500000000001</v>
      </c>
      <c r="U21" s="285">
        <f t="shared" si="3"/>
        <v>2107.4962500000001</v>
      </c>
      <c r="V21" s="285">
        <f>Tabelle!$B$286/12*H21/36*F21</f>
        <v>1310.84</v>
      </c>
      <c r="W21" s="285">
        <f>IF($D21="A",Tabelle!$B$276,IF(OR($D21="B1",$D21="B3"),Tabelle!$B$277,IF($D21="C",Tabelle!$B$279,IF(OR($D21="D1",$D21="d3"),Tabelle!$B$280,))))</f>
        <v>52.08</v>
      </c>
      <c r="X21" s="285">
        <f>IF($D21="A",Tabelle!$C$276,IF(OR($D21="B1",$D21="B3"),Tabelle!$C$277,IF($D21="C",Tabelle!$C$279,IF(OR($D21="D1",$D21="d3"),Tabelle!$C$280,))))</f>
        <v>497.51999999999992</v>
      </c>
      <c r="Y21" s="285">
        <f t="shared" si="4"/>
        <v>52.08</v>
      </c>
      <c r="Z21" s="285">
        <f t="shared" si="5"/>
        <v>497.51999999999992</v>
      </c>
      <c r="AA21" s="285">
        <f t="shared" si="6"/>
        <v>29257.891250000004</v>
      </c>
      <c r="AB21" s="285">
        <f t="shared" si="7"/>
        <v>400.64374999999995</v>
      </c>
      <c r="AC21" s="87"/>
    </row>
    <row r="22" spans="1:30" s="23" customFormat="1" ht="21" customHeight="1" x14ac:dyDescent="0.25">
      <c r="A22" s="21"/>
      <c r="B22" s="21" t="s">
        <v>220</v>
      </c>
      <c r="C22" s="21" t="s">
        <v>465</v>
      </c>
      <c r="D22" s="296" t="s">
        <v>26</v>
      </c>
      <c r="E22" s="296" t="s">
        <v>30</v>
      </c>
      <c r="F22" s="296">
        <v>36</v>
      </c>
      <c r="G22" s="297">
        <f>IF(D22="a",Tabelle!$E$213,IF(D22="b1",Tabelle!$E$219,IF(D22="b3",Tabelle!$E$221,IF(D22="c",Tabelle!$J$213,IF(D22="d1",Tabelle!$J$219,IF(D22="d3",Tabelle!$J$221,))))))</f>
        <v>19034.509999999998</v>
      </c>
      <c r="H22" s="296">
        <v>12</v>
      </c>
      <c r="I22" s="285">
        <f t="shared" si="0"/>
        <v>19034.509999999998</v>
      </c>
      <c r="J22" s="285">
        <f>IF($E22="a1",Tabelle!$E$213,IF($E22="a2",Tabelle!$E$214,IF($E22="a3",Tabelle!$E$215,IF($E22="a4",Tabelle!$E$216,IF($E22="a5",Tabelle!$E$217,IF($E22="a6",Tabelle!$E$218,))))))</f>
        <v>0</v>
      </c>
      <c r="K22" s="285">
        <f>IF($E22="b1",Tabelle!$E$219,IF($E22="b2",Tabelle!$E$220,IF($E22="b3",Tabelle!$E$221,IF($E22="b4",Tabelle!$E$222,IF($E22="b5",Tabelle!$E$223,IF($E22="b6",Tabelle!$E$224,IF($E22="b7",Tabelle!$C$225,IF($E22="b8",Tabelle!$C$226,))))))))</f>
        <v>20692.310000000001</v>
      </c>
      <c r="L22" s="285">
        <f>IF($E22="c1",Tabelle!$J$213,IF($E22="c2",Tabelle!$J$214,IF($E22="c3",Tabelle!$J$215,IF($E22="c4",Tabelle!$J$216,IF($E22="c5",Tabelle!$J$217,IF($E22="c6",Tabelle!$J$218,))))))</f>
        <v>0</v>
      </c>
      <c r="M22" s="285">
        <f>IF($E22="d1",Tabelle!$J$219,IF($E22="d2",Tabelle!$J$220,IF($E22="d3",Tabelle!$J$221,IF($E22="d4",Tabelle!$J$222,IF($E22="d5",Tabelle!$J$223,IF($E22="d6",Tabelle!$J$224,IF($E22="d7",Tabelle!$J$225,)))))))</f>
        <v>0</v>
      </c>
      <c r="N22" s="285">
        <f t="shared" si="1"/>
        <v>1657.8000000000029</v>
      </c>
      <c r="O22" s="285"/>
      <c r="P22" s="285">
        <f>IF($E22="a1",Tabelle!$C$235,IF($E22="a2",Tabelle!$C$236,IF($E22="a3",Tabelle!$C$237,IF($E22="a4",Tabelle!$C$238,IF($E22="a5",Tabelle!$C$239,IF($E22="a6",Tabelle!$C$240,))))))</f>
        <v>0</v>
      </c>
      <c r="Q22" s="285">
        <f>IF($E22="b1",Tabelle!$C$241,IF($E22="b2",Tabelle!$C$242,IF($E22="b3",Tabelle!$C$243,IF($E22="b4",Tabelle!$C$244,IF($E22="b5",Tabelle!$C$245,IF($E22="b6",Tabelle!$C$246,IF($E22="b7",Tabelle!$C$247,IF($E22="b8",Tabelle!$C$248,))))))))</f>
        <v>103.46155</v>
      </c>
      <c r="R22" s="285">
        <f>IF($E22="c1",Tabelle!$F$235,IF($E22="c2",Tabelle!$F$236,IF($E22="c3",Tabelle!$F$237,IF($E22="c4",Tabelle!$F$238,IF($E22="c5",Tabelle!$F$239,IF($E22="c6",Tabelle!$F$240,))))))</f>
        <v>0</v>
      </c>
      <c r="S22" s="285">
        <f>IF($E22="d1",Tabelle!$F$241,IF($E22="d2",Tabelle!$F$242,IF($E22="d3",Tabelle!$F$243,IF($E22="d4",Tabelle!$F$244,IF($E22="d5",Tabelle!$F$245,IF($E22="d6",Tabelle!$F$246,IF($E22="d7",Tabelle!$F$247,)))))))</f>
        <v>0</v>
      </c>
      <c r="T22" s="285">
        <f t="shared" si="2"/>
        <v>103.46155</v>
      </c>
      <c r="U22" s="285">
        <f t="shared" si="3"/>
        <v>1732.9809625</v>
      </c>
      <c r="V22" s="285"/>
      <c r="W22" s="285">
        <f>IF($D22="A",Tabelle!$B$276,IF(OR($D22="B1",$D22="B3"),Tabelle!$B$277,IF($D22="C",Tabelle!$B$279,IF(OR($D22="D1",$D22="d3"),Tabelle!$B$280,))))</f>
        <v>44.76</v>
      </c>
      <c r="X22" s="285">
        <f>IF($D22="A",Tabelle!$C$276,IF(OR($D22="B1",$D22="B3"),Tabelle!$C$277,IF($D22="C",Tabelle!$C$279,IF(OR($D22="D1",$D22="d3"),Tabelle!$C$280,))))</f>
        <v>426.84</v>
      </c>
      <c r="Y22" s="285">
        <f t="shared" si="4"/>
        <v>44.759999999999991</v>
      </c>
      <c r="Z22" s="285">
        <f t="shared" si="5"/>
        <v>426.84000000000003</v>
      </c>
      <c r="AA22" s="285">
        <f t="shared" si="6"/>
        <v>23000.352512500001</v>
      </c>
      <c r="AB22" s="285">
        <f t="shared" si="7"/>
        <v>336.25003750000002</v>
      </c>
      <c r="AC22" s="87"/>
    </row>
    <row r="23" spans="1:30" s="23" customFormat="1" ht="21" customHeight="1" x14ac:dyDescent="0.25">
      <c r="A23" s="21"/>
      <c r="B23" s="21" t="s">
        <v>203</v>
      </c>
      <c r="C23" s="21" t="s">
        <v>461</v>
      </c>
      <c r="D23" s="296" t="s">
        <v>68</v>
      </c>
      <c r="E23" s="296" t="s">
        <v>22</v>
      </c>
      <c r="F23" s="296">
        <v>36</v>
      </c>
      <c r="G23" s="297">
        <f>IF(D23="a",Tabelle!$E$213,IF(D23="b1",Tabelle!$E$219,IF(D23="b3",Tabelle!$E$221,IF(D23="c",Tabelle!$J$213,IF(D23="d1",Tabelle!$J$219,IF(D23="d3",Tabelle!$J$221,))))))</f>
        <v>18044.370000000003</v>
      </c>
      <c r="H23" s="296">
        <v>12</v>
      </c>
      <c r="I23" s="285">
        <f t="shared" si="0"/>
        <v>18044.370000000003</v>
      </c>
      <c r="J23" s="285">
        <f>IF($E23="a1",Tabelle!$E$213,IF($E23="a2",Tabelle!$E$214,IF($E23="a3",Tabelle!$E$215,IF($E23="a4",Tabelle!$E$216,IF($E23="a5",Tabelle!$E$217,IF($E23="a6",Tabelle!$E$218,))))))</f>
        <v>18653.28</v>
      </c>
      <c r="K23" s="285">
        <f>IF($E23="b1",Tabelle!$E$219,IF($E23="b2",Tabelle!$E$220,IF($E23="b3",Tabelle!$E$221,IF($E23="b4",Tabelle!$E$222,IF($E23="b5",Tabelle!$E$223,IF($E23="b6",Tabelle!$E$224,IF($E23="b7",Tabelle!$C$225,IF($E23="b8",Tabelle!$C$226,))))))))</f>
        <v>0</v>
      </c>
      <c r="L23" s="285">
        <f>IF($E23="c1",Tabelle!$J$213,IF($E23="c2",Tabelle!$J$214,IF($E23="c3",Tabelle!$J$215,IF($E23="c4",Tabelle!$J$216,IF($E23="c5",Tabelle!$J$217,IF($E23="c6",Tabelle!$J$218,))))))</f>
        <v>0</v>
      </c>
      <c r="M23" s="285">
        <f>IF($E23="d1",Tabelle!$J$219,IF($E23="d2",Tabelle!$J$220,IF($E23="d3",Tabelle!$J$221,IF($E23="d4",Tabelle!$J$222,IF($E23="d5",Tabelle!$J$223,IF($E23="d6",Tabelle!$J$224,IF($E23="d7",Tabelle!$J$225,)))))))</f>
        <v>0</v>
      </c>
      <c r="N23" s="285">
        <f t="shared" si="1"/>
        <v>608.90999999999622</v>
      </c>
      <c r="O23" s="285"/>
      <c r="P23" s="285">
        <f>IF($E23="a1",Tabelle!$C$235,IF($E23="a2",Tabelle!$C$236,IF($E23="a3",Tabelle!$C$237,IF($E23="a4",Tabelle!$C$238,IF($E23="a5",Tabelle!$C$239,IF($E23="a6",Tabelle!$C$240,))))))</f>
        <v>93.26639999999999</v>
      </c>
      <c r="Q23" s="285">
        <f>IF($E23="b1",Tabelle!$C$241,IF($E23="b2",Tabelle!$C$242,IF($E23="b3",Tabelle!$C$243,IF($E23="b4",Tabelle!$C$244,IF($E23="b5",Tabelle!$C$245,IF($E23="b6",Tabelle!$C$246,IF($E23="b7",Tabelle!$C$247,IF($E23="b8",Tabelle!$C$248,))))))))</f>
        <v>0</v>
      </c>
      <c r="R23" s="285">
        <f>IF($E23="c1",Tabelle!$F$235,IF($E23="c2",Tabelle!$F$236,IF($E23="c3",Tabelle!$F$237,IF($E23="c4",Tabelle!$F$238,IF($E23="c5",Tabelle!$F$239,IF($E23="c6",Tabelle!$F$240,))))))</f>
        <v>0</v>
      </c>
      <c r="S23" s="285">
        <f>IF($E23="d1",Tabelle!$F$241,IF($E23="d2",Tabelle!$F$242,IF($E23="d3",Tabelle!$F$243,IF($E23="d4",Tabelle!$F$244,IF($E23="d5",Tabelle!$F$245,IF($E23="d6",Tabelle!$F$246,IF($E23="d7",Tabelle!$F$247,)))))))</f>
        <v>0</v>
      </c>
      <c r="T23" s="285">
        <f t="shared" si="2"/>
        <v>93.26639999999999</v>
      </c>
      <c r="U23" s="285">
        <f t="shared" si="3"/>
        <v>1562.2121999999999</v>
      </c>
      <c r="V23" s="285">
        <f>Tabelle!$B$290/12*H23/36*F23</f>
        <v>64.56</v>
      </c>
      <c r="W23" s="285">
        <f>IF($D23="A",Tabelle!$B$276,IF(OR($D23="B1",$D23="B3"),Tabelle!$B$277,IF($D23="C",Tabelle!$B$279,IF(OR($D23="D1",$D23="d3"),Tabelle!$B$280,))))</f>
        <v>37.08</v>
      </c>
      <c r="X23" s="285">
        <f>IF($D23="A",Tabelle!$C$276,IF(OR($D23="B1",$D23="B3"),Tabelle!$C$277,IF($D23="C",Tabelle!$C$279,IF(OR($D23="D1",$D23="d3"),Tabelle!$C$280,))))</f>
        <v>351.6</v>
      </c>
      <c r="Y23" s="285">
        <f t="shared" si="4"/>
        <v>37.08</v>
      </c>
      <c r="Z23" s="285">
        <f t="shared" si="5"/>
        <v>351.6</v>
      </c>
      <c r="AA23" s="285">
        <f t="shared" si="6"/>
        <v>20761.998600000003</v>
      </c>
      <c r="AB23" s="285">
        <f t="shared" si="7"/>
        <v>303.11579999999998</v>
      </c>
      <c r="AC23" s="87"/>
    </row>
    <row r="24" spans="1:30" s="23" customFormat="1" ht="21" customHeight="1" x14ac:dyDescent="0.25">
      <c r="A24" s="21"/>
      <c r="B24" s="21" t="s">
        <v>247</v>
      </c>
      <c r="C24" s="21" t="s">
        <v>455</v>
      </c>
      <c r="D24" s="296" t="s">
        <v>40</v>
      </c>
      <c r="E24" s="296" t="s">
        <v>44</v>
      </c>
      <c r="F24" s="296">
        <v>36</v>
      </c>
      <c r="G24" s="297">
        <f>IF(D24="a",Tabelle!$E$213,IF(D24="b1",Tabelle!$E$219,IF(D24="b3",Tabelle!$E$221,IF(D24="c",Tabelle!$J$213,IF(D24="d1",Tabelle!$J$219,IF(D24="d3",Tabelle!$J$221,))))))</f>
        <v>23212.349999999995</v>
      </c>
      <c r="H24" s="296">
        <v>12</v>
      </c>
      <c r="I24" s="285">
        <f t="shared" si="0"/>
        <v>23212.35</v>
      </c>
      <c r="J24" s="285">
        <f>IF($E24="a1",Tabelle!$E$213,IF($E24="a2",Tabelle!$E$214,IF($E24="a3",Tabelle!$E$215,IF($E24="a4",Tabelle!$E$216,IF($E24="a5",Tabelle!$E$217,IF($E24="a6",Tabelle!$E$218,))))))</f>
        <v>0</v>
      </c>
      <c r="K24" s="285">
        <f>IF($E24="b1",Tabelle!$E$219,IF($E24="b2",Tabelle!$E$220,IF($E24="b3",Tabelle!$E$221,IF($E24="b4",Tabelle!$E$222,IF($E24="b5",Tabelle!$E$223,IF($E24="b6",Tabelle!$E$224,IF($E24="b7",Tabelle!$C$225,IF($E24="b8",Tabelle!$C$226,))))))))</f>
        <v>0</v>
      </c>
      <c r="L24" s="285">
        <f>IF($E24="c1",Tabelle!$J$213,IF($E24="c2",Tabelle!$J$214,IF($E24="c3",Tabelle!$J$215,IF($E24="c4",Tabelle!$J$216,IF($E24="c5",Tabelle!$J$217,IF($E24="c6",Tabelle!$J$218,))))))</f>
        <v>0</v>
      </c>
      <c r="M24" s="285">
        <f>IF($E24="d1",Tabelle!$J$219,IF($E24="d2",Tabelle!$J$220,IF($E24="d3",Tabelle!$J$221,IF($E24="d4",Tabelle!$J$222,IF($E24="d5",Tabelle!$J$223,IF($E24="d6",Tabelle!$J$224,IF($E24="d7",Tabelle!$J$225,)))))))</f>
        <v>28839.460000000003</v>
      </c>
      <c r="N24" s="285">
        <f t="shared" si="1"/>
        <v>5627.1100000000079</v>
      </c>
      <c r="O24" s="285"/>
      <c r="P24" s="285">
        <f>IF($E24="a1",Tabelle!$C$235,IF($E24="a2",Tabelle!$C$236,IF($E24="a3",Tabelle!$C$237,IF($E24="a4",Tabelle!$C$238,IF($E24="a5",Tabelle!$C$239,IF($E24="a6",Tabelle!$C$240,))))))</f>
        <v>0</v>
      </c>
      <c r="Q24" s="285">
        <f>IF($E24="b1",Tabelle!$C$241,IF($E24="b2",Tabelle!$C$242,IF($E24="b3",Tabelle!$C$243,IF($E24="b4",Tabelle!$C$244,IF($E24="b5",Tabelle!$C$245,IF($E24="b6",Tabelle!$C$246,IF($E24="b7",Tabelle!$C$247,IF($E24="b8",Tabelle!$C$248,))))))))</f>
        <v>0</v>
      </c>
      <c r="R24" s="285">
        <f>IF($E24="c1",Tabelle!$F$235,IF($E24="c2",Tabelle!$F$236,IF($E24="c3",Tabelle!$F$237,IF($E24="c4",Tabelle!$F$238,IF($E24="c5",Tabelle!$F$239,IF($E24="c6",Tabelle!$F$240,))))))</f>
        <v>0</v>
      </c>
      <c r="S24" s="285">
        <f>IF($E24="d1",Tabelle!$F$241,IF($E24="d2",Tabelle!$F$242,IF($E24="d3",Tabelle!$F$243,IF($E24="d4",Tabelle!$F$244,IF($E24="d5",Tabelle!$F$245,IF($E24="d6",Tabelle!$F$246,IF($E24="d7",Tabelle!$F$247,)))))))</f>
        <v>144.19730000000001</v>
      </c>
      <c r="T24" s="285">
        <f t="shared" si="2"/>
        <v>144.19730000000001</v>
      </c>
      <c r="U24" s="285">
        <f t="shared" si="3"/>
        <v>2415.3047750000005</v>
      </c>
      <c r="V24" s="285"/>
      <c r="W24" s="285">
        <f>IF($D24="A",Tabelle!$B$276,IF(OR($D24="B1",$D24="B3"),Tabelle!$B$277,IF($D24="C",Tabelle!$B$279,IF(OR($D24="D1",$D24="d3"),Tabelle!$B$280,))))</f>
        <v>59.4</v>
      </c>
      <c r="X24" s="285">
        <f>IF($D24="A",Tabelle!$C$276,IF(OR($D24="B1",$D24="B3"),Tabelle!$C$277,IF($D24="C",Tabelle!$C$279,IF(OR($D24="D1",$D24="d3"),Tabelle!$C$280,))))</f>
        <v>563.4</v>
      </c>
      <c r="Y24" s="285">
        <f t="shared" si="4"/>
        <v>59.400000000000006</v>
      </c>
      <c r="Z24" s="285">
        <f t="shared" si="5"/>
        <v>563.4</v>
      </c>
      <c r="AA24" s="285">
        <f t="shared" si="6"/>
        <v>32021.76207500001</v>
      </c>
      <c r="AB24" s="285">
        <f t="shared" si="7"/>
        <v>468.64122500000002</v>
      </c>
      <c r="AC24" s="87"/>
    </row>
    <row r="25" spans="1:30" s="23" customFormat="1" ht="21" customHeight="1" x14ac:dyDescent="0.25">
      <c r="A25" s="21"/>
      <c r="B25" s="21" t="s">
        <v>226</v>
      </c>
      <c r="C25" s="21" t="s">
        <v>473</v>
      </c>
      <c r="D25" s="296" t="s">
        <v>26</v>
      </c>
      <c r="E25" s="296" t="s">
        <v>32</v>
      </c>
      <c r="F25" s="296">
        <v>36</v>
      </c>
      <c r="G25" s="297">
        <f>IF(D25="a",Tabelle!$E$213,IF(D25="b1",Tabelle!$E$219,IF(D25="b3",Tabelle!$E$221,IF(D25="c",Tabelle!$J$213,IF(D25="d1",Tabelle!$J$219,IF(D25="d3",Tabelle!$J$221,))))))</f>
        <v>19034.509999999998</v>
      </c>
      <c r="H25" s="296">
        <v>12</v>
      </c>
      <c r="I25" s="285">
        <f t="shared" si="0"/>
        <v>19034.509999999998</v>
      </c>
      <c r="J25" s="285">
        <f>IF($E25="a1",Tabelle!$E$213,IF($E25="a2",Tabelle!$E$214,IF($E25="a3",Tabelle!$E$215,IF($E25="a4",Tabelle!$E$216,IF($E25="a5",Tabelle!$E$217,IF($E25="a6",Tabelle!$E$218,))))))</f>
        <v>0</v>
      </c>
      <c r="K25" s="285">
        <f>IF($E25="b1",Tabelle!$E$219,IF($E25="b2",Tabelle!$E$220,IF($E25="b3",Tabelle!$E$221,IF($E25="b4",Tabelle!$E$222,IF($E25="b5",Tabelle!$E$223,IF($E25="b6",Tabelle!$E$224,IF($E25="b7",Tabelle!$C$225,IF($E25="b8",Tabelle!$C$226,))))))))</f>
        <v>21609.040000000001</v>
      </c>
      <c r="L25" s="285">
        <f>IF($E25="c1",Tabelle!$J$213,IF($E25="c2",Tabelle!$J$214,IF($E25="c3",Tabelle!$J$215,IF($E25="c4",Tabelle!$J$216,IF($E25="c5",Tabelle!$J$217,IF($E25="c6",Tabelle!$J$218,))))))</f>
        <v>0</v>
      </c>
      <c r="M25" s="285">
        <f>IF($E25="d1",Tabelle!$J$219,IF($E25="d2",Tabelle!$J$220,IF($E25="d3",Tabelle!$J$221,IF($E25="d4",Tabelle!$J$222,IF($E25="d5",Tabelle!$J$223,IF($E25="d6",Tabelle!$J$224,IF($E25="d7",Tabelle!$J$225,)))))))</f>
        <v>0</v>
      </c>
      <c r="N25" s="285">
        <f t="shared" si="1"/>
        <v>2574.5300000000025</v>
      </c>
      <c r="O25" s="285">
        <f>(10.53+4.61)*H25</f>
        <v>181.68</v>
      </c>
      <c r="P25" s="285">
        <f>IF($E25="a1",Tabelle!$C$235,IF($E25="a2",Tabelle!$C$236,IF($E25="a3",Tabelle!$C$237,IF($E25="a4",Tabelle!$C$238,IF($E25="a5",Tabelle!$C$239,IF($E25="a6",Tabelle!$C$240,))))))</f>
        <v>0</v>
      </c>
      <c r="Q25" s="285">
        <f>IF($E25="b1",Tabelle!$C$241,IF($E25="b2",Tabelle!$C$242,IF($E25="b3",Tabelle!$C$243,IF($E25="b4",Tabelle!$C$244,IF($E25="b5",Tabelle!$C$245,IF($E25="b6",Tabelle!$C$246,IF($E25="b7",Tabelle!$C$247,IF($E25="b8",Tabelle!$C$248,))))))))</f>
        <v>109.2218</v>
      </c>
      <c r="R25" s="285">
        <f>IF($E25="c1",Tabelle!$F$235,IF($E25="c2",Tabelle!$F$236,IF($E25="c3",Tabelle!$F$237,IF($E25="c4",Tabelle!$F$238,IF($E25="c5",Tabelle!$F$239,IF($E25="c6",Tabelle!$F$240,))))))</f>
        <v>0</v>
      </c>
      <c r="S25" s="285">
        <f>IF($E25="d1",Tabelle!$F$241,IF($E25="d2",Tabelle!$F$242,IF($E25="d3",Tabelle!$F$243,IF($E25="d4",Tabelle!$F$244,IF($E25="d5",Tabelle!$F$245,IF($E25="d6",Tabelle!$F$246,IF($E25="d7",Tabelle!$F$247,)))))))</f>
        <v>0</v>
      </c>
      <c r="T25" s="285">
        <f t="shared" si="2"/>
        <v>109.2218</v>
      </c>
      <c r="U25" s="285">
        <f t="shared" si="3"/>
        <v>1824.99515</v>
      </c>
      <c r="V25" s="285"/>
      <c r="W25" s="285">
        <f>IF($D25="A",Tabelle!$B$276,IF(OR($D25="B1",$D25="B3"),Tabelle!$B$277,IF($D25="C",Tabelle!$B$279,IF(OR($D25="D1",$D25="d3"),Tabelle!$B$280,))))</f>
        <v>44.76</v>
      </c>
      <c r="X25" s="285">
        <f>IF($D25="A",Tabelle!$C$276,IF(OR($D25="B1",$D25="B3"),Tabelle!$C$277,IF($D25="C",Tabelle!$C$279,IF(OR($D25="D1",$D25="d3"),Tabelle!$C$280,))))</f>
        <v>426.84</v>
      </c>
      <c r="Y25" s="285">
        <f t="shared" si="4"/>
        <v>44.759999999999991</v>
      </c>
      <c r="Z25" s="285">
        <f t="shared" si="5"/>
        <v>426.84000000000003</v>
      </c>
      <c r="AA25" s="285">
        <f t="shared" si="6"/>
        <v>24196.536949999998</v>
      </c>
      <c r="AB25" s="285">
        <f t="shared" si="7"/>
        <v>351.14690000000002</v>
      </c>
      <c r="AC25" s="87"/>
    </row>
    <row r="26" spans="1:30" s="23" customFormat="1" ht="21" customHeight="1" x14ac:dyDescent="0.25">
      <c r="A26" s="21"/>
      <c r="B26" s="21" t="s">
        <v>233</v>
      </c>
      <c r="C26" s="21" t="s">
        <v>467</v>
      </c>
      <c r="D26" s="296" t="s">
        <v>40</v>
      </c>
      <c r="E26" s="296" t="s">
        <v>40</v>
      </c>
      <c r="F26" s="296">
        <v>36</v>
      </c>
      <c r="G26" s="297">
        <f>IF(D26="a",Tabelle!$E$213,IF(D26="b1",Tabelle!$E$219,IF(D26="b3",Tabelle!$E$221,IF(D26="c",Tabelle!$J$213,IF(D26="d1",Tabelle!$J$219,IF(D26="d3",Tabelle!$J$221,))))))</f>
        <v>23212.349999999995</v>
      </c>
      <c r="H26" s="296">
        <v>12</v>
      </c>
      <c r="I26" s="285">
        <f t="shared" si="0"/>
        <v>23212.35</v>
      </c>
      <c r="J26" s="285">
        <f>IF($E26="a1",Tabelle!$E$213,IF($E26="a2",Tabelle!$E$214,IF($E26="a3",Tabelle!$E$215,IF($E26="a4",Tabelle!$E$216,IF($E26="a5",Tabelle!$E$217,IF($E26="a6",Tabelle!$E$218,))))))</f>
        <v>0</v>
      </c>
      <c r="K26" s="285">
        <f>IF($E26="b1",Tabelle!$E$219,IF($E26="b2",Tabelle!$E$220,IF($E26="b3",Tabelle!$E$221,IF($E26="b4",Tabelle!$E$222,IF($E26="b5",Tabelle!$E$223,IF($E26="b6",Tabelle!$E$224,IF($E26="b7",Tabelle!$C$225,IF($E26="b8",Tabelle!$C$226,))))))))</f>
        <v>0</v>
      </c>
      <c r="L26" s="285">
        <f>IF($E26="c1",Tabelle!$J$213,IF($E26="c2",Tabelle!$J$214,IF($E26="c3",Tabelle!$J$215,IF($E26="c4",Tabelle!$J$216,IF($E26="c5",Tabelle!$J$217,IF($E26="c6",Tabelle!$J$218,))))))</f>
        <v>0</v>
      </c>
      <c r="M26" s="285">
        <f>IF($E26="d1",Tabelle!$J$219,IF($E26="d2",Tabelle!$J$220,IF($E26="d3",Tabelle!$J$221,IF($E26="d4",Tabelle!$J$222,IF($E26="d5",Tabelle!$J$223,IF($E26="d6",Tabelle!$J$224,IF($E26="d7",Tabelle!$J$225,)))))))</f>
        <v>23212.349999999995</v>
      </c>
      <c r="N26" s="285">
        <f t="shared" si="1"/>
        <v>0</v>
      </c>
      <c r="O26" s="285"/>
      <c r="P26" s="285">
        <f>IF($E26="a1",Tabelle!$C$235,IF($E26="a2",Tabelle!$C$236,IF($E26="a3",Tabelle!$C$237,IF($E26="a4",Tabelle!$C$238,IF($E26="a5",Tabelle!$C$239,IF($E26="a6",Tabelle!$C$240,))))))</f>
        <v>0</v>
      </c>
      <c r="Q26" s="285">
        <f>IF($E26="b1",Tabelle!$C$241,IF($E26="b2",Tabelle!$C$242,IF($E26="b3",Tabelle!$C$243,IF($E26="b4",Tabelle!$C$244,IF($E26="b5",Tabelle!$C$245,IF($E26="b6",Tabelle!$C$246,IF($E26="b7",Tabelle!$C$247,IF($E26="b8",Tabelle!$C$248,))))))))</f>
        <v>0</v>
      </c>
      <c r="R26" s="285">
        <f>IF($E26="c1",Tabelle!$F$235,IF($E26="c2",Tabelle!$F$236,IF($E26="c3",Tabelle!$F$237,IF($E26="c4",Tabelle!$F$238,IF($E26="c5",Tabelle!$F$239,IF($E26="c6",Tabelle!$F$240,))))))</f>
        <v>0</v>
      </c>
      <c r="S26" s="285">
        <f>IF($E26="d1",Tabelle!$F$241,IF($E26="d2",Tabelle!$F$242,IF($E26="d3",Tabelle!$F$243,IF($E26="d4",Tabelle!$F$244,IF($E26="d5",Tabelle!$F$245,IF($E26="d6",Tabelle!$F$246,IF($E26="d7",Tabelle!$F$247,)))))))</f>
        <v>116.06174999999998</v>
      </c>
      <c r="T26" s="285">
        <f t="shared" si="2"/>
        <v>116.06174999999998</v>
      </c>
      <c r="U26" s="285">
        <f t="shared" si="3"/>
        <v>1944.0343124999999</v>
      </c>
      <c r="V26" s="285"/>
      <c r="W26" s="285">
        <f>IF($D26="A",Tabelle!$B$276,IF(OR($D26="B1",$D26="B3"),Tabelle!$B$277,IF($D26="C",Tabelle!$B$279,IF(OR($D26="D1",$D26="d3"),Tabelle!$B$280,))))</f>
        <v>59.4</v>
      </c>
      <c r="X26" s="285">
        <f>IF($D26="A",Tabelle!$C$276,IF(OR($D26="B1",$D26="B3"),Tabelle!$C$277,IF($D26="C",Tabelle!$C$279,IF(OR($D26="D1",$D26="d3"),Tabelle!$C$280,))))</f>
        <v>563.4</v>
      </c>
      <c r="Y26" s="285">
        <f t="shared" si="4"/>
        <v>59.400000000000006</v>
      </c>
      <c r="Z26" s="285">
        <f t="shared" si="5"/>
        <v>563.4</v>
      </c>
      <c r="AA26" s="285">
        <f t="shared" si="6"/>
        <v>25895.246062500002</v>
      </c>
      <c r="AB26" s="285">
        <f t="shared" si="7"/>
        <v>377.2006874999999</v>
      </c>
      <c r="AC26" s="87"/>
    </row>
    <row r="27" spans="1:30" s="23" customFormat="1" ht="21" customHeight="1" x14ac:dyDescent="0.25">
      <c r="A27" s="21"/>
      <c r="B27" s="21" t="s">
        <v>234</v>
      </c>
      <c r="C27" s="21" t="s">
        <v>469</v>
      </c>
      <c r="D27" s="296" t="s">
        <v>55</v>
      </c>
      <c r="E27" s="296" t="s">
        <v>35</v>
      </c>
      <c r="F27" s="296">
        <v>36</v>
      </c>
      <c r="G27" s="297">
        <f>IF(D27="a",Tabelle!$E$213,IF(D27="b1",Tabelle!$E$219,IF(D27="b3",Tabelle!$E$221,IF(D27="c",Tabelle!$J$213,IF(D27="d1",Tabelle!$J$219,IF(D27="d3",Tabelle!$J$221,))))))</f>
        <v>21392.87</v>
      </c>
      <c r="H27" s="296">
        <v>12</v>
      </c>
      <c r="I27" s="285">
        <f t="shared" si="0"/>
        <v>21392.87</v>
      </c>
      <c r="J27" s="285">
        <f>IF($E27="a1",Tabelle!$E$213,IF($E27="a2",Tabelle!$E$214,IF($E27="a3",Tabelle!$E$215,IF($E27="a4",Tabelle!$E$216,IF($E27="a5",Tabelle!$E$217,IF($E27="a6",Tabelle!$E$218,))))))</f>
        <v>0</v>
      </c>
      <c r="K27" s="285">
        <f>IF($E27="b1",Tabelle!$E$219,IF($E27="b2",Tabelle!$E$220,IF($E27="b3",Tabelle!$E$221,IF($E27="b4",Tabelle!$E$222,IF($E27="b5",Tabelle!$E$223,IF($E27="b6",Tabelle!$E$224,IF($E27="b7",Tabelle!$C$225,IF($E27="b8",Tabelle!$C$226,))))))))</f>
        <v>0</v>
      </c>
      <c r="L27" s="285">
        <f>IF($E27="c1",Tabelle!$J$213,IF($E27="c2",Tabelle!$J$214,IF($E27="c3",Tabelle!$J$215,IF($E27="c4",Tabelle!$J$216,IF($E27="c5",Tabelle!$J$217,IF($E27="c6",Tabelle!$J$218,))))))</f>
        <v>21886.58</v>
      </c>
      <c r="M27" s="285">
        <f>IF($E27="d1",Tabelle!$J$219,IF($E27="d2",Tabelle!$J$220,IF($E27="d3",Tabelle!$J$221,IF($E27="d4",Tabelle!$J$222,IF($E27="d5",Tabelle!$J$223,IF($E27="d6",Tabelle!$J$224,IF($E27="d7",Tabelle!$J$225,)))))))</f>
        <v>0</v>
      </c>
      <c r="N27" s="285">
        <f t="shared" si="1"/>
        <v>493.71000000000276</v>
      </c>
      <c r="O27" s="285"/>
      <c r="P27" s="285">
        <f>IF($E27="a1",Tabelle!$C$235,IF($E27="a2",Tabelle!$C$236,IF($E27="a3",Tabelle!$C$237,IF($E27="a4",Tabelle!$C$238,IF($E27="a5",Tabelle!$C$239,IF($E27="a6",Tabelle!$C$240,))))))</f>
        <v>0</v>
      </c>
      <c r="Q27" s="285">
        <f>IF($E27="b1",Tabelle!$C$241,IF($E27="b2",Tabelle!$C$242,IF($E27="b3",Tabelle!$C$243,IF($E27="b4",Tabelle!$C$244,IF($E27="b5",Tabelle!$C$245,IF($E27="b6",Tabelle!$C$246,IF($E27="b7",Tabelle!$C$247,IF($E27="b8",Tabelle!$C$248,))))))))</f>
        <v>0</v>
      </c>
      <c r="R27" s="285">
        <f>IF($E27="c1",Tabelle!$F$235,IF($E27="c2",Tabelle!$F$236,IF($E27="c3",Tabelle!$F$237,IF($E27="c4",Tabelle!$F$238,IF($E27="c5",Tabelle!$F$239,IF($E27="c6",Tabelle!$F$240,))))))</f>
        <v>109.43290000000002</v>
      </c>
      <c r="S27" s="285">
        <f>IF($E27="d1",Tabelle!$F$241,IF($E27="d2",Tabelle!$F$242,IF($E27="d3",Tabelle!$F$243,IF($E27="d4",Tabelle!$F$244,IF($E27="d5",Tabelle!$F$245,IF($E27="d6",Tabelle!$F$246,IF($E27="d7",Tabelle!$F$247,)))))))</f>
        <v>0</v>
      </c>
      <c r="T27" s="285">
        <f t="shared" si="2"/>
        <v>109.43290000000002</v>
      </c>
      <c r="U27" s="285">
        <f t="shared" si="3"/>
        <v>1833.0010750000001</v>
      </c>
      <c r="V27" s="285">
        <f>Tabelle!$B$286/12*H27/36*F27</f>
        <v>1310.84</v>
      </c>
      <c r="W27" s="285">
        <f>IF($D27="A",Tabelle!$B$276,IF(OR($D27="B1",$D27="B3"),Tabelle!$B$277,IF($D27="C",Tabelle!$B$279,IF(OR($D27="D1",$D27="d3"),Tabelle!$B$280,))))</f>
        <v>52.08</v>
      </c>
      <c r="X27" s="285">
        <f>IF($D27="A",Tabelle!$C$276,IF(OR($D27="B1",$D27="B3"),Tabelle!$C$277,IF($D27="C",Tabelle!$C$279,IF(OR($D27="D1",$D27="d3"),Tabelle!$C$280,))))</f>
        <v>497.51999999999992</v>
      </c>
      <c r="Y27" s="285">
        <f t="shared" si="4"/>
        <v>52.08</v>
      </c>
      <c r="Z27" s="285">
        <f t="shared" si="5"/>
        <v>497.51999999999992</v>
      </c>
      <c r="AA27" s="285">
        <f t="shared" si="6"/>
        <v>25689.453975000004</v>
      </c>
      <c r="AB27" s="285">
        <f t="shared" si="7"/>
        <v>355.656925</v>
      </c>
      <c r="AC27" s="87"/>
    </row>
    <row r="28" spans="1:30" s="23" customFormat="1" ht="21" customHeight="1" x14ac:dyDescent="0.25">
      <c r="A28" s="21"/>
      <c r="B28" s="21" t="s">
        <v>452</v>
      </c>
      <c r="C28" s="21" t="s">
        <v>453</v>
      </c>
      <c r="D28" s="296" t="s">
        <v>40</v>
      </c>
      <c r="E28" s="296" t="s">
        <v>40</v>
      </c>
      <c r="F28" s="296">
        <v>36</v>
      </c>
      <c r="G28" s="297">
        <f>IF(D28="a",Tabelle!$E$213,IF(D28="b1",Tabelle!$E$219,IF(D28="b3",Tabelle!$E$221,IF(D28="c",Tabelle!$J$213,IF(D28="d1",Tabelle!$J$219,IF(D28="d3",Tabelle!$J$221,))))))</f>
        <v>23212.349999999995</v>
      </c>
      <c r="H28" s="296">
        <v>12</v>
      </c>
      <c r="I28" s="285">
        <f t="shared" si="0"/>
        <v>23212.35</v>
      </c>
      <c r="J28" s="285">
        <f>IF($E28="a1",Tabelle!$E$213,IF($E28="a2",Tabelle!$E$214,IF($E28="a3",Tabelle!$E$215,IF($E28="a4",Tabelle!$E$216,IF($E28="a5",Tabelle!$E$217,IF($E28="a6",Tabelle!$E$218,))))))</f>
        <v>0</v>
      </c>
      <c r="K28" s="285">
        <f>IF($E28="b1",Tabelle!$E$219,IF($E28="b2",Tabelle!$E$220,IF($E28="b3",Tabelle!$E$221,IF($E28="b4",Tabelle!$E$222,IF($E28="b5",Tabelle!$E$223,IF($E28="b6",Tabelle!$E$224,IF($E28="b7",Tabelle!$C$225,IF($E28="b8",Tabelle!$C$226,))))))))</f>
        <v>0</v>
      </c>
      <c r="L28" s="285">
        <f>IF($E28="c1",Tabelle!$J$213,IF($E28="c2",Tabelle!$J$214,IF($E28="c3",Tabelle!$J$215,IF($E28="c4",Tabelle!$J$216,IF($E28="c5",Tabelle!$J$217,IF($E28="c6",Tabelle!$J$218,))))))</f>
        <v>0</v>
      </c>
      <c r="M28" s="285">
        <f>IF($E28="d1",Tabelle!$J$219,IF($E28="d2",Tabelle!$J$220,IF($E28="d3",Tabelle!$J$221,IF($E28="d4",Tabelle!$J$222,IF($E28="d5",Tabelle!$J$223,IF($E28="d6",Tabelle!$J$224,IF($E28="d7",Tabelle!$J$225,)))))))</f>
        <v>23212.349999999995</v>
      </c>
      <c r="N28" s="285">
        <f t="shared" si="1"/>
        <v>0</v>
      </c>
      <c r="O28" s="285"/>
      <c r="P28" s="285">
        <f>IF($E28="a1",Tabelle!$C$235,IF($E28="a2",Tabelle!$C$236,IF($E28="a3",Tabelle!$C$237,IF($E28="a4",Tabelle!$C$238,IF($E28="a5",Tabelle!$C$239,IF($E28="a6",Tabelle!$C$240,))))))</f>
        <v>0</v>
      </c>
      <c r="Q28" s="285">
        <f>IF($E28="b1",Tabelle!$C$241,IF($E28="b2",Tabelle!$C$242,IF($E28="b3",Tabelle!$C$243,IF($E28="b4",Tabelle!$C$244,IF($E28="b5",Tabelle!$C$245,IF($E28="b6",Tabelle!$C$246,IF($E28="b7",Tabelle!$C$247,IF($E28="b8",Tabelle!$C$248,))))))))</f>
        <v>0</v>
      </c>
      <c r="R28" s="285">
        <f>IF($E28="c1",Tabelle!$F$235,IF($E28="c2",Tabelle!$F$236,IF($E28="c3",Tabelle!$F$237,IF($E28="c4",Tabelle!$F$238,IF($E28="c5",Tabelle!$F$239,IF($E28="c6",Tabelle!$F$240,))))))</f>
        <v>0</v>
      </c>
      <c r="S28" s="285">
        <f>IF($E28="d1",Tabelle!$F$241,IF($E28="d2",Tabelle!$F$242,IF($E28="d3",Tabelle!$F$243,IF($E28="d4",Tabelle!$F$244,IF($E28="d5",Tabelle!$F$245,IF($E28="d6",Tabelle!$F$246,IF($E28="d7",Tabelle!$F$247,)))))))</f>
        <v>116.06174999999998</v>
      </c>
      <c r="T28" s="285">
        <f t="shared" si="2"/>
        <v>116.06174999999998</v>
      </c>
      <c r="U28" s="285">
        <f t="shared" si="3"/>
        <v>1944.0343124999999</v>
      </c>
      <c r="V28" s="285"/>
      <c r="W28" s="285">
        <f>IF($D28="A",Tabelle!$B$276,IF(OR($D28="B1",$D28="B3"),Tabelle!$B$277,IF($D28="C",Tabelle!$B$279,IF(OR($D28="D1",$D28="d3"),Tabelle!$B$280,))))</f>
        <v>59.4</v>
      </c>
      <c r="X28" s="285">
        <f>IF($D28="A",Tabelle!$C$276,IF(OR($D28="B1",$D28="B3"),Tabelle!$C$277,IF($D28="C",Tabelle!$C$279,IF(OR($D28="D1",$D28="d3"),Tabelle!$C$280,))))</f>
        <v>563.4</v>
      </c>
      <c r="Y28" s="285">
        <f t="shared" si="4"/>
        <v>59.400000000000006</v>
      </c>
      <c r="Z28" s="285">
        <f t="shared" si="5"/>
        <v>563.4</v>
      </c>
      <c r="AA28" s="285">
        <f t="shared" si="6"/>
        <v>25895.246062500002</v>
      </c>
      <c r="AB28" s="285">
        <f t="shared" si="7"/>
        <v>377.2006874999999</v>
      </c>
      <c r="AC28" s="87"/>
    </row>
    <row r="29" spans="1:30" s="23" customFormat="1" ht="21" customHeight="1" x14ac:dyDescent="0.25">
      <c r="A29" s="21"/>
      <c r="B29" s="21" t="s">
        <v>478</v>
      </c>
      <c r="C29" s="21" t="s">
        <v>469</v>
      </c>
      <c r="D29" s="296" t="s">
        <v>55</v>
      </c>
      <c r="E29" s="296" t="s">
        <v>34</v>
      </c>
      <c r="F29" s="296">
        <v>36</v>
      </c>
      <c r="G29" s="297">
        <f>IF(D29="a",Tabelle!$E$213,IF(D29="b1",Tabelle!$E$219,IF(D29="b3",Tabelle!$E$221,IF(D29="c",Tabelle!$J$213,IF(D29="d1",Tabelle!$J$219,IF(D29="d3",Tabelle!$J$221,))))))</f>
        <v>21392.87</v>
      </c>
      <c r="H29" s="296">
        <v>12</v>
      </c>
      <c r="I29" s="285">
        <f t="shared" si="0"/>
        <v>21392.87</v>
      </c>
      <c r="J29" s="285">
        <f>IF($E29="a1",Tabelle!$E$213,IF($E29="a2",Tabelle!$E$214,IF($E29="a3",Tabelle!$E$215,IF($E29="a4",Tabelle!$E$216,IF($E29="a5",Tabelle!$E$217,IF($E29="a6",Tabelle!$E$218,))))))</f>
        <v>0</v>
      </c>
      <c r="K29" s="285">
        <f>IF($E29="b1",Tabelle!$E$219,IF($E29="b2",Tabelle!$E$220,IF($E29="b3",Tabelle!$E$221,IF($E29="b4",Tabelle!$E$222,IF($E29="b5",Tabelle!$E$223,IF($E29="b6",Tabelle!$E$224,IF($E29="b7",Tabelle!$C$225,IF($E29="b8",Tabelle!$C$226,))))))))</f>
        <v>0</v>
      </c>
      <c r="L29" s="285">
        <f>IF($E29="c1",Tabelle!$J$213,IF($E29="c2",Tabelle!$J$214,IF($E29="c3",Tabelle!$J$215,IF($E29="c4",Tabelle!$J$216,IF($E29="c5",Tabelle!$J$217,IF($E29="c6",Tabelle!$J$218,))))))</f>
        <v>21392.87</v>
      </c>
      <c r="M29" s="285">
        <f>IF($E29="d1",Tabelle!$J$219,IF($E29="d2",Tabelle!$J$220,IF($E29="d3",Tabelle!$J$221,IF($E29="d4",Tabelle!$J$222,IF($E29="d5",Tabelle!$J$223,IF($E29="d6",Tabelle!$J$224,IF($E29="d7",Tabelle!$J$225,)))))))</f>
        <v>0</v>
      </c>
      <c r="N29" s="285">
        <f t="shared" si="1"/>
        <v>0</v>
      </c>
      <c r="O29" s="285"/>
      <c r="P29" s="285">
        <f>IF($E29="a1",Tabelle!$C$235,IF($E29="a2",Tabelle!$C$236,IF($E29="a3",Tabelle!$C$237,IF($E29="a4",Tabelle!$C$238,IF($E29="a5",Tabelle!$C$239,IF($E29="a6",Tabelle!$C$240,))))))</f>
        <v>0</v>
      </c>
      <c r="Q29" s="285">
        <f>IF($E29="b1",Tabelle!$C$241,IF($E29="b2",Tabelle!$C$242,IF($E29="b3",Tabelle!$C$243,IF($E29="b4",Tabelle!$C$244,IF($E29="b5",Tabelle!$C$245,IF($E29="b6",Tabelle!$C$246,IF($E29="b7",Tabelle!$C$247,IF($E29="b8",Tabelle!$C$248,))))))))</f>
        <v>0</v>
      </c>
      <c r="R29" s="285">
        <f>IF($E29="c1",Tabelle!$F$235,IF($E29="c2",Tabelle!$F$236,IF($E29="c3",Tabelle!$F$237,IF($E29="c4",Tabelle!$F$238,IF($E29="c5",Tabelle!$F$239,IF($E29="c6",Tabelle!$F$240,))))))</f>
        <v>106.96435</v>
      </c>
      <c r="S29" s="285">
        <f>IF($E29="d1",Tabelle!$F$241,IF($E29="d2",Tabelle!$F$242,IF($E29="d3",Tabelle!$F$243,IF($E29="d4",Tabelle!$F$244,IF($E29="d5",Tabelle!$F$245,IF($E29="d6",Tabelle!$F$246,IF($E29="d7",Tabelle!$F$247,)))))))</f>
        <v>0</v>
      </c>
      <c r="T29" s="285">
        <f t="shared" si="2"/>
        <v>106.96435</v>
      </c>
      <c r="U29" s="285">
        <f t="shared" si="3"/>
        <v>1791.6528624999999</v>
      </c>
      <c r="V29" s="285">
        <f>Tabelle!$B$285/12*H29/36*F29</f>
        <v>980.3</v>
      </c>
      <c r="W29" s="285">
        <f>IF($D29="A",Tabelle!$B$276,IF(OR($D29="B1",$D29="B3"),Tabelle!$B$277,IF($D29="C",Tabelle!$B$279,IF(OR($D29="D1",$D29="d3"),Tabelle!$B$280,))))</f>
        <v>52.08</v>
      </c>
      <c r="X29" s="285">
        <f>IF($D29="A",Tabelle!$C$276,IF(OR($D29="B1",$D29="B3"),Tabelle!$C$277,IF($D29="C",Tabelle!$C$279,IF(OR($D29="D1",$D29="d3"),Tabelle!$C$280,))))</f>
        <v>497.51999999999992</v>
      </c>
      <c r="Y29" s="285">
        <f t="shared" si="4"/>
        <v>52.08</v>
      </c>
      <c r="Z29" s="285">
        <f t="shared" si="5"/>
        <v>497.51999999999992</v>
      </c>
      <c r="AA29" s="285">
        <f t="shared" si="6"/>
        <v>24821.387212499998</v>
      </c>
      <c r="AB29" s="285">
        <f t="shared" si="7"/>
        <v>347.63413749999995</v>
      </c>
      <c r="AC29" s="87"/>
    </row>
    <row r="30" spans="1:30" s="23" customFormat="1" ht="21" customHeight="1" x14ac:dyDescent="0.25">
      <c r="A30" s="21"/>
      <c r="B30" s="21" t="s">
        <v>257</v>
      </c>
      <c r="C30" s="21" t="s">
        <v>463</v>
      </c>
      <c r="D30" s="296" t="s">
        <v>26</v>
      </c>
      <c r="E30" s="296" t="s">
        <v>26</v>
      </c>
      <c r="F30" s="296">
        <v>36</v>
      </c>
      <c r="G30" s="297">
        <f>IF(D30="a",Tabelle!$E$213,IF(D30="b1",Tabelle!$E$219,IF(D30="b3",Tabelle!$E$221,IF(D30="c",Tabelle!$J$213,IF(D30="d1",Tabelle!$J$219,IF(D30="d3",Tabelle!$J$221,))))))</f>
        <v>19034.509999999998</v>
      </c>
      <c r="H30" s="296">
        <v>12</v>
      </c>
      <c r="I30" s="285">
        <f t="shared" si="0"/>
        <v>19034.509999999998</v>
      </c>
      <c r="J30" s="285">
        <f>IF($E30="a1",Tabelle!$E$213,IF($E30="a2",Tabelle!$E$214,IF($E30="a3",Tabelle!$E$215,IF($E30="a4",Tabelle!$E$216,IF($E30="a5",Tabelle!$E$217,IF($E30="a6",Tabelle!$E$218,))))))</f>
        <v>0</v>
      </c>
      <c r="K30" s="285">
        <f>IF($E30="b1",Tabelle!$E$219,IF($E30="b2",Tabelle!$E$220,IF($E30="b3",Tabelle!$E$221,IF($E30="b4",Tabelle!$E$222,IF($E30="b5",Tabelle!$E$223,IF($E30="b6",Tabelle!$E$224,IF($E30="b7",Tabelle!$C$225,IF($E30="b8",Tabelle!$C$226,))))))))</f>
        <v>19034.509999999998</v>
      </c>
      <c r="L30" s="285">
        <f>IF($E30="c1",Tabelle!$J$213,IF($E30="c2",Tabelle!$J$214,IF($E30="c3",Tabelle!$J$215,IF($E30="c4",Tabelle!$J$216,IF($E30="c5",Tabelle!$J$217,IF($E30="c6",Tabelle!$J$218,))))))</f>
        <v>0</v>
      </c>
      <c r="M30" s="285">
        <f>IF($E30="d1",Tabelle!$J$219,IF($E30="d2",Tabelle!$J$220,IF($E30="d3",Tabelle!$J$221,IF($E30="d4",Tabelle!$J$222,IF($E30="d5",Tabelle!$J$223,IF($E30="d6",Tabelle!$J$224,IF($E30="d7",Tabelle!$J$225,)))))))</f>
        <v>0</v>
      </c>
      <c r="N30" s="285">
        <f t="shared" si="1"/>
        <v>0</v>
      </c>
      <c r="O30" s="285"/>
      <c r="P30" s="285">
        <f>IF($E30="a1",Tabelle!$C$235,IF($E30="a2",Tabelle!$C$236,IF($E30="a3",Tabelle!$C$237,IF($E30="a4",Tabelle!$C$238,IF($E30="a5",Tabelle!$C$239,IF($E30="a6",Tabelle!$C$240,))))))</f>
        <v>0</v>
      </c>
      <c r="Q30" s="285">
        <f>IF($E30="b1",Tabelle!$C$241,IF($E30="b2",Tabelle!$C$242,IF($E30="b3",Tabelle!$C$243,IF($E30="b4",Tabelle!$C$244,IF($E30="b5",Tabelle!$C$245,IF($E30="b6",Tabelle!$C$246,IF($E30="b7",Tabelle!$C$247,IF($E30="b8",Tabelle!$C$248,))))))))</f>
        <v>95.172549999999987</v>
      </c>
      <c r="R30" s="285">
        <f>IF($E30="c1",Tabelle!$F$235,IF($E30="c2",Tabelle!$F$236,IF($E30="c3",Tabelle!$F$237,IF($E30="c4",Tabelle!$F$238,IF($E30="c5",Tabelle!$F$239,IF($E30="c6",Tabelle!$F$240,))))))</f>
        <v>0</v>
      </c>
      <c r="S30" s="285">
        <f>IF($E30="d1",Tabelle!$F$241,IF($E30="d2",Tabelle!$F$242,IF($E30="d3",Tabelle!$F$243,IF($E30="d4",Tabelle!$F$244,IF($E30="d5",Tabelle!$F$245,IF($E30="d6",Tabelle!$F$246,IF($E30="d7",Tabelle!$F$247,)))))))</f>
        <v>0</v>
      </c>
      <c r="T30" s="285">
        <f t="shared" si="2"/>
        <v>95.172549999999987</v>
      </c>
      <c r="U30" s="285">
        <f t="shared" si="3"/>
        <v>1594.1402124999997</v>
      </c>
      <c r="V30" s="285">
        <f>Tabelle!$B$290/12*H30/36*F30</f>
        <v>64.56</v>
      </c>
      <c r="W30" s="285">
        <f>IF($D30="A",Tabelle!$B$276,IF(OR($D30="B1",$D30="B3"),Tabelle!$B$277,IF($D30="C",Tabelle!$B$279,IF(OR($D30="D1",$D30="d3"),Tabelle!$B$280,))))</f>
        <v>44.76</v>
      </c>
      <c r="X30" s="285">
        <f>IF($D30="A",Tabelle!$C$276,IF(OR($D30="B1",$D30="B3"),Tabelle!$C$277,IF($D30="C",Tabelle!$C$279,IF(OR($D30="D1",$D30="d3"),Tabelle!$C$280,))))</f>
        <v>426.84</v>
      </c>
      <c r="Y30" s="285">
        <f t="shared" si="4"/>
        <v>44.759999999999991</v>
      </c>
      <c r="Z30" s="285">
        <f t="shared" si="5"/>
        <v>426.84000000000003</v>
      </c>
      <c r="AA30" s="285">
        <f t="shared" si="6"/>
        <v>21259.982762499996</v>
      </c>
      <c r="AB30" s="285">
        <f t="shared" si="7"/>
        <v>309.31078749999995</v>
      </c>
      <c r="AC30" s="87"/>
    </row>
    <row r="31" spans="1:30" s="23" customFormat="1" ht="21" customHeight="1" x14ac:dyDescent="0.25">
      <c r="A31" s="21"/>
      <c r="B31" s="21" t="s">
        <v>221</v>
      </c>
      <c r="C31" s="21" t="s">
        <v>465</v>
      </c>
      <c r="D31" s="296" t="s">
        <v>26</v>
      </c>
      <c r="E31" s="296" t="s">
        <v>29</v>
      </c>
      <c r="F31" s="296">
        <v>36</v>
      </c>
      <c r="G31" s="297">
        <f>IF(D31="a",Tabelle!$E$213,IF(D31="b1",Tabelle!$E$219,IF(D31="b3",Tabelle!$E$221,IF(D31="c",Tabelle!$J$213,IF(D31="d1",Tabelle!$J$219,IF(D31="d3",Tabelle!$J$221,))))))</f>
        <v>19034.509999999998</v>
      </c>
      <c r="H31" s="296">
        <v>12</v>
      </c>
      <c r="I31" s="285">
        <f t="shared" si="0"/>
        <v>19034.509999999998</v>
      </c>
      <c r="J31" s="285">
        <f>IF($E31="a1",Tabelle!$E$213,IF($E31="a2",Tabelle!$E$214,IF($E31="a3",Tabelle!$E$215,IF($E31="a4",Tabelle!$E$216,IF($E31="a5",Tabelle!$E$217,IF($E31="a6",Tabelle!$E$218,))))))</f>
        <v>0</v>
      </c>
      <c r="K31" s="285">
        <f>IF($E31="b1",Tabelle!$E$219,IF($E31="b2",Tabelle!$E$220,IF($E31="b3",Tabelle!$E$221,IF($E31="b4",Tabelle!$E$222,IF($E31="b5",Tabelle!$E$223,IF($E31="b6",Tabelle!$E$224,IF($E31="b7",Tabelle!$C$225,IF($E31="b8",Tabelle!$C$226,))))))))</f>
        <v>20364.410000000003</v>
      </c>
      <c r="L31" s="285">
        <f>IF($E31="c1",Tabelle!$J$213,IF($E31="c2",Tabelle!$J$214,IF($E31="c3",Tabelle!$J$215,IF($E31="c4",Tabelle!$J$216,IF($E31="c5",Tabelle!$J$217,IF($E31="c6",Tabelle!$J$218,))))))</f>
        <v>0</v>
      </c>
      <c r="M31" s="285">
        <f>IF($E31="d1",Tabelle!$J$219,IF($E31="d2",Tabelle!$J$220,IF($E31="d3",Tabelle!$J$221,IF($E31="d4",Tabelle!$J$222,IF($E31="d5",Tabelle!$J$223,IF($E31="d6",Tabelle!$J$224,IF($E31="d7",Tabelle!$J$225,)))))))</f>
        <v>0</v>
      </c>
      <c r="N31" s="285">
        <f t="shared" si="1"/>
        <v>1329.9000000000051</v>
      </c>
      <c r="O31" s="285"/>
      <c r="P31" s="285">
        <f>IF($E31="a1",Tabelle!$C$235,IF($E31="a2",Tabelle!$C$236,IF($E31="a3",Tabelle!$C$237,IF($E31="a4",Tabelle!$C$238,IF($E31="a5",Tabelle!$C$239,IF($E31="a6",Tabelle!$C$240,))))))</f>
        <v>0</v>
      </c>
      <c r="Q31" s="285">
        <f>IF($E31="b1",Tabelle!$C$241,IF($E31="b2",Tabelle!$C$242,IF($E31="b3",Tabelle!$C$243,IF($E31="b4",Tabelle!$C$244,IF($E31="b5",Tabelle!$C$245,IF($E31="b6",Tabelle!$C$246,IF($E31="b7",Tabelle!$C$247,IF($E31="b8",Tabelle!$C$248,))))))))</f>
        <v>101.82205000000002</v>
      </c>
      <c r="R31" s="285">
        <f>IF($E31="c1",Tabelle!$F$235,IF($E31="c2",Tabelle!$F$236,IF($E31="c3",Tabelle!$F$237,IF($E31="c4",Tabelle!$F$238,IF($E31="c5",Tabelle!$F$239,IF($E31="c6",Tabelle!$F$240,))))))</f>
        <v>0</v>
      </c>
      <c r="S31" s="285">
        <f>IF($E31="d1",Tabelle!$F$241,IF($E31="d2",Tabelle!$F$242,IF($E31="d3",Tabelle!$F$243,IF($E31="d4",Tabelle!$F$244,IF($E31="d5",Tabelle!$F$245,IF($E31="d6",Tabelle!$F$246,IF($E31="d7",Tabelle!$F$247,)))))))</f>
        <v>0</v>
      </c>
      <c r="T31" s="285">
        <f t="shared" si="2"/>
        <v>101.82205000000002</v>
      </c>
      <c r="U31" s="285">
        <f t="shared" si="3"/>
        <v>1705.5193375000001</v>
      </c>
      <c r="V31" s="285"/>
      <c r="W31" s="285">
        <f>IF($D31="A",Tabelle!$B$276,IF(OR($D31="B1",$D31="B3"),Tabelle!$B$277,IF($D31="C",Tabelle!$B$279,IF(OR($D31="D1",$D31="d3"),Tabelle!$B$280,))))</f>
        <v>44.76</v>
      </c>
      <c r="X31" s="285">
        <f>IF($D31="A",Tabelle!$C$276,IF(OR($D31="B1",$D31="B3"),Tabelle!$C$277,IF($D31="C",Tabelle!$C$279,IF(OR($D31="D1",$D31="d3"),Tabelle!$C$280,))))</f>
        <v>426.84</v>
      </c>
      <c r="Y31" s="285">
        <f t="shared" si="4"/>
        <v>44.759999999999991</v>
      </c>
      <c r="Z31" s="285">
        <f t="shared" si="5"/>
        <v>426.84000000000003</v>
      </c>
      <c r="AA31" s="285">
        <f t="shared" si="6"/>
        <v>22643.351387500003</v>
      </c>
      <c r="AB31" s="285">
        <f t="shared" si="7"/>
        <v>330.92166250000002</v>
      </c>
      <c r="AC31" s="87"/>
    </row>
    <row r="32" spans="1:30" s="23" customFormat="1" ht="21" customHeight="1" x14ac:dyDescent="0.25">
      <c r="A32" s="21"/>
      <c r="B32" s="21" t="s">
        <v>249</v>
      </c>
      <c r="C32" s="21" t="s">
        <v>455</v>
      </c>
      <c r="D32" s="296" t="s">
        <v>40</v>
      </c>
      <c r="E32" s="296" t="s">
        <v>46</v>
      </c>
      <c r="F32" s="296">
        <v>36</v>
      </c>
      <c r="G32" s="297">
        <f>IF(D32="a",Tabelle!$E$213,IF(D32="b1",Tabelle!$E$219,IF(D32="b3",Tabelle!$E$221,IF(D32="c",Tabelle!$J$213,IF(D32="d1",Tabelle!$J$219,IF(D32="d3",Tabelle!$J$221,))))))</f>
        <v>23212.349999999995</v>
      </c>
      <c r="H32" s="296">
        <v>12</v>
      </c>
      <c r="I32" s="285">
        <f t="shared" si="0"/>
        <v>23212.35</v>
      </c>
      <c r="J32" s="285">
        <f>IF($E32="a1",Tabelle!$E$213,IF($E32="a2",Tabelle!$E$214,IF($E32="a3",Tabelle!$E$215,IF($E32="a4",Tabelle!$E$216,IF($E32="a5",Tabelle!$E$217,IF($E32="a6",Tabelle!$E$218,))))))</f>
        <v>0</v>
      </c>
      <c r="K32" s="285">
        <f>IF($E32="b1",Tabelle!$E$219,IF($E32="b2",Tabelle!$E$220,IF($E32="b3",Tabelle!$E$221,IF($E32="b4",Tabelle!$E$222,IF($E32="b5",Tabelle!$E$223,IF($E32="b6",Tabelle!$E$224,IF($E32="b7",Tabelle!$C$225,IF($E32="b8",Tabelle!$C$226,))))))))</f>
        <v>0</v>
      </c>
      <c r="L32" s="285">
        <f>IF($E32="c1",Tabelle!$J$213,IF($E32="c2",Tabelle!$J$214,IF($E32="c3",Tabelle!$J$215,IF($E32="c4",Tabelle!$J$216,IF($E32="c5",Tabelle!$J$217,IF($E32="c6",Tabelle!$J$218,))))))</f>
        <v>0</v>
      </c>
      <c r="M32" s="285">
        <f>IF($E32="d1",Tabelle!$J$219,IF($E32="d2",Tabelle!$J$220,IF($E32="d3",Tabelle!$J$221,IF($E32="d4",Tabelle!$J$222,IF($E32="d5",Tabelle!$J$223,IF($E32="d6",Tabelle!$J$224,IF($E32="d7",Tabelle!$J$225,)))))))</f>
        <v>32390.2</v>
      </c>
      <c r="N32" s="285">
        <f t="shared" si="1"/>
        <v>9177.8500000000058</v>
      </c>
      <c r="O32" s="285"/>
      <c r="P32" s="285">
        <f>IF($E32="a1",Tabelle!$C$235,IF($E32="a2",Tabelle!$C$236,IF($E32="a3",Tabelle!$C$237,IF($E32="a4",Tabelle!$C$238,IF($E32="a5",Tabelle!$C$239,IF($E32="a6",Tabelle!$C$240,))))))</f>
        <v>0</v>
      </c>
      <c r="Q32" s="285">
        <f>IF($E32="b1",Tabelle!$C$241,IF($E32="b2",Tabelle!$C$242,IF($E32="b3",Tabelle!$C$243,IF($E32="b4",Tabelle!$C$244,IF($E32="b5",Tabelle!$C$245,IF($E32="b6",Tabelle!$C$246,IF($E32="b7",Tabelle!$C$247,IF($E32="b8",Tabelle!$C$248,))))))))</f>
        <v>0</v>
      </c>
      <c r="R32" s="285">
        <f>IF($E32="c1",Tabelle!$F$235,IF($E32="c2",Tabelle!$F$236,IF($E32="c3",Tabelle!$F$237,IF($E32="c4",Tabelle!$F$238,IF($E32="c5",Tabelle!$F$239,IF($E32="c6",Tabelle!$F$240,))))))</f>
        <v>0</v>
      </c>
      <c r="S32" s="285">
        <f>IF($E32="d1",Tabelle!$F$241,IF($E32="d2",Tabelle!$F$242,IF($E32="d3",Tabelle!$F$243,IF($E32="d4",Tabelle!$F$244,IF($E32="d5",Tabelle!$F$245,IF($E32="d6",Tabelle!$F$246,IF($E32="d7",Tabelle!$F$247,)))))))</f>
        <v>161.95099999999999</v>
      </c>
      <c r="T32" s="285">
        <f t="shared" si="2"/>
        <v>161.95099999999999</v>
      </c>
      <c r="U32" s="285">
        <f t="shared" si="3"/>
        <v>2712.6792500000006</v>
      </c>
      <c r="V32" s="285">
        <f>Tabelle!$B$286/12*H32/36*F32</f>
        <v>1310.84</v>
      </c>
      <c r="W32" s="285">
        <f>IF($D32="A",Tabelle!$B$276,IF(OR($D32="B1",$D32="B3"),Tabelle!$B$277,IF($D32="C",Tabelle!$B$279,IF(OR($D32="D1",$D32="d3"),Tabelle!$B$280,))))</f>
        <v>59.4</v>
      </c>
      <c r="X32" s="285">
        <f>IF($D32="A",Tabelle!$C$276,IF(OR($D32="B1",$D32="B3"),Tabelle!$C$277,IF($D32="C",Tabelle!$C$279,IF(OR($D32="D1",$D32="d3"),Tabelle!$C$280,))))</f>
        <v>563.4</v>
      </c>
      <c r="Y32" s="285">
        <f t="shared" si="4"/>
        <v>59.400000000000006</v>
      </c>
      <c r="Z32" s="285">
        <f t="shared" si="5"/>
        <v>563.4</v>
      </c>
      <c r="AA32" s="285">
        <f t="shared" si="6"/>
        <v>37198.470250000006</v>
      </c>
      <c r="AB32" s="285">
        <f t="shared" si="7"/>
        <v>526.34075000000007</v>
      </c>
      <c r="AC32" s="87"/>
      <c r="AD32" s="87"/>
    </row>
    <row r="33" spans="1:29" s="23" customFormat="1" ht="21" customHeight="1" x14ac:dyDescent="0.25">
      <c r="A33" s="21"/>
      <c r="B33" s="21" t="s">
        <v>460</v>
      </c>
      <c r="C33" s="21" t="s">
        <v>461</v>
      </c>
      <c r="D33" s="296" t="s">
        <v>68</v>
      </c>
      <c r="E33" s="296" t="s">
        <v>20</v>
      </c>
      <c r="F33" s="296">
        <v>36</v>
      </c>
      <c r="G33" s="297">
        <f>IF(D33="a",Tabelle!$E$213,IF(D33="b1",Tabelle!$E$219,IF(D33="b3",Tabelle!$E$221,IF(D33="c",Tabelle!$J$213,IF(D33="d1",Tabelle!$J$219,IF(D33="d3",Tabelle!$J$221,))))))</f>
        <v>18044.370000000003</v>
      </c>
      <c r="H33" s="296">
        <v>12</v>
      </c>
      <c r="I33" s="285">
        <f t="shared" si="0"/>
        <v>18044.370000000003</v>
      </c>
      <c r="J33" s="285">
        <f>IF($E33="a1",Tabelle!$E$213,IF($E33="a2",Tabelle!$E$214,IF($E33="a3",Tabelle!$E$215,IF($E33="a4",Tabelle!$E$216,IF($E33="a5",Tabelle!$E$217,IF($E33="a6",Tabelle!$E$218,))))))</f>
        <v>18044.370000000003</v>
      </c>
      <c r="K33" s="285">
        <f>IF($E33="b1",Tabelle!$E$219,IF($E33="b2",Tabelle!$E$220,IF($E33="b3",Tabelle!$E$221,IF($E33="b4",Tabelle!$E$222,IF($E33="b5",Tabelle!$E$223,IF($E33="b6",Tabelle!$E$224,IF($E33="b7",Tabelle!$C$225,IF($E33="b8",Tabelle!$C$226,))))))))</f>
        <v>0</v>
      </c>
      <c r="L33" s="285">
        <f>IF($E33="c1",Tabelle!$J$213,IF($E33="c2",Tabelle!$J$214,IF($E33="c3",Tabelle!$J$215,IF($E33="c4",Tabelle!$J$216,IF($E33="c5",Tabelle!$J$217,IF($E33="c6",Tabelle!$J$218,))))))</f>
        <v>0</v>
      </c>
      <c r="M33" s="285">
        <f>IF($E33="d1",Tabelle!$J$219,IF($E33="d2",Tabelle!$J$220,IF($E33="d3",Tabelle!$J$221,IF($E33="d4",Tabelle!$J$222,IF($E33="d5",Tabelle!$J$223,IF($E33="d6",Tabelle!$J$224,IF($E33="d7",Tabelle!$J$225,)))))))</f>
        <v>0</v>
      </c>
      <c r="N33" s="285">
        <f t="shared" si="1"/>
        <v>0</v>
      </c>
      <c r="O33" s="285"/>
      <c r="P33" s="285">
        <f>IF($E33="a1",Tabelle!$C$235,IF($E33="a2",Tabelle!$C$236,IF($E33="a3",Tabelle!$C$237,IF($E33="a4",Tabelle!$C$238,IF($E33="a5",Tabelle!$C$239,IF($E33="a6",Tabelle!$C$240,))))))</f>
        <v>90.221850000000018</v>
      </c>
      <c r="Q33" s="285">
        <f>IF($E33="b1",Tabelle!$C$241,IF($E33="b2",Tabelle!$C$242,IF($E33="b3",Tabelle!$C$243,IF($E33="b4",Tabelle!$C$244,IF($E33="b5",Tabelle!$C$245,IF($E33="b6",Tabelle!$C$246,IF($E33="b7",Tabelle!$C$247,IF($E33="b8",Tabelle!$C$248,))))))))</f>
        <v>0</v>
      </c>
      <c r="R33" s="285">
        <f>IF($E33="c1",Tabelle!$F$235,IF($E33="c2",Tabelle!$F$236,IF($E33="c3",Tabelle!$F$237,IF($E33="c4",Tabelle!$F$238,IF($E33="c5",Tabelle!$F$239,IF($E33="c6",Tabelle!$F$240,))))))</f>
        <v>0</v>
      </c>
      <c r="S33" s="285">
        <f>IF($E33="d1",Tabelle!$F$241,IF($E33="d2",Tabelle!$F$242,IF($E33="d3",Tabelle!$F$243,IF($E33="d4",Tabelle!$F$244,IF($E33="d5",Tabelle!$F$245,IF($E33="d6",Tabelle!$F$246,IF($E33="d7",Tabelle!$F$247,)))))))</f>
        <v>0</v>
      </c>
      <c r="T33" s="285">
        <f t="shared" si="2"/>
        <v>90.221850000000018</v>
      </c>
      <c r="U33" s="285">
        <f t="shared" si="3"/>
        <v>1511.2159875000004</v>
      </c>
      <c r="V33" s="285">
        <f>Tabelle!$B$290/12*H33/36*F33</f>
        <v>64.56</v>
      </c>
      <c r="W33" s="285">
        <f>IF($D33="A",Tabelle!$B$276,IF(OR($D33="B1",$D33="B3"),Tabelle!$B$277,IF($D33="C",Tabelle!$B$279,IF(OR($D33="D1",$D33="d3"),Tabelle!$B$280,))))</f>
        <v>37.08</v>
      </c>
      <c r="X33" s="285">
        <f>IF($D33="A",Tabelle!$C$276,IF(OR($D33="B1",$D33="B3"),Tabelle!$C$277,IF($D33="C",Tabelle!$C$279,IF(OR($D33="D1",$D33="d3"),Tabelle!$C$280,))))</f>
        <v>351.6</v>
      </c>
      <c r="Y33" s="285">
        <f t="shared" si="4"/>
        <v>37.08</v>
      </c>
      <c r="Z33" s="285">
        <f t="shared" si="5"/>
        <v>351.6</v>
      </c>
      <c r="AA33" s="285">
        <f t="shared" si="6"/>
        <v>20099.047837500006</v>
      </c>
      <c r="AB33" s="285">
        <f t="shared" si="7"/>
        <v>293.22101250000003</v>
      </c>
      <c r="AC33" s="87"/>
    </row>
    <row r="34" spans="1:29" s="23" customFormat="1" ht="21" customHeight="1" x14ac:dyDescent="0.25">
      <c r="A34" s="21"/>
      <c r="B34" s="21" t="s">
        <v>475</v>
      </c>
      <c r="C34" s="21" t="s">
        <v>471</v>
      </c>
      <c r="D34" s="296" t="s">
        <v>55</v>
      </c>
      <c r="E34" s="296" t="s">
        <v>34</v>
      </c>
      <c r="F34" s="296">
        <v>36</v>
      </c>
      <c r="G34" s="297">
        <f>IF(D34="a",Tabelle!$E$213,IF(D34="b1",Tabelle!$E$219,IF(D34="b3",Tabelle!$E$221,IF(D34="c",Tabelle!$J$213,IF(D34="d1",Tabelle!$J$219,IF(D34="d3",Tabelle!$J$221,))))))</f>
        <v>21392.87</v>
      </c>
      <c r="H34" s="296">
        <v>12</v>
      </c>
      <c r="I34" s="285">
        <f t="shared" si="0"/>
        <v>21392.87</v>
      </c>
      <c r="J34" s="285">
        <f>IF($E34="a1",Tabelle!$E$213,IF($E34="a2",Tabelle!$E$214,IF($E34="a3",Tabelle!$E$215,IF($E34="a4",Tabelle!$E$216,IF($E34="a5",Tabelle!$E$217,IF($E34="a6",Tabelle!$E$218,))))))</f>
        <v>0</v>
      </c>
      <c r="K34" s="285">
        <f>IF($E34="b1",Tabelle!$E$219,IF($E34="b2",Tabelle!$E$220,IF($E34="b3",Tabelle!$E$221,IF($E34="b4",Tabelle!$E$222,IF($E34="b5",Tabelle!$E$223,IF($E34="b6",Tabelle!$E$224,IF($E34="b7",Tabelle!$C$225,IF($E34="b8",Tabelle!$C$226,))))))))</f>
        <v>0</v>
      </c>
      <c r="L34" s="285">
        <f>IF($E34="c1",Tabelle!$J$213,IF($E34="c2",Tabelle!$J$214,IF($E34="c3",Tabelle!$J$215,IF($E34="c4",Tabelle!$J$216,IF($E34="c5",Tabelle!$J$217,IF($E34="c6",Tabelle!$J$218,))))))</f>
        <v>21392.87</v>
      </c>
      <c r="M34" s="285">
        <f>IF($E34="d1",Tabelle!$J$219,IF($E34="d2",Tabelle!$J$220,IF($E34="d3",Tabelle!$J$221,IF($E34="d4",Tabelle!$J$222,IF($E34="d5",Tabelle!$J$223,IF($E34="d6",Tabelle!$J$224,IF($E34="d7",Tabelle!$J$225,)))))))</f>
        <v>0</v>
      </c>
      <c r="N34" s="285">
        <f t="shared" si="1"/>
        <v>0</v>
      </c>
      <c r="O34" s="285"/>
      <c r="P34" s="285">
        <f>IF($E34="a1",Tabelle!$C$235,IF($E34="a2",Tabelle!$C$236,IF($E34="a3",Tabelle!$C$237,IF($E34="a4",Tabelle!$C$238,IF($E34="a5",Tabelle!$C$239,IF($E34="a6",Tabelle!$C$240,))))))</f>
        <v>0</v>
      </c>
      <c r="Q34" s="285">
        <f>IF($E34="b1",Tabelle!$C$241,IF($E34="b2",Tabelle!$C$242,IF($E34="b3",Tabelle!$C$243,IF($E34="b4",Tabelle!$C$244,IF($E34="b5",Tabelle!$C$245,IF($E34="b6",Tabelle!$C$246,IF($E34="b7",Tabelle!$C$247,IF($E34="b8",Tabelle!$C$248,))))))))</f>
        <v>0</v>
      </c>
      <c r="R34" s="285">
        <f>IF($E34="c1",Tabelle!$F$235,IF($E34="c2",Tabelle!$F$236,IF($E34="c3",Tabelle!$F$237,IF($E34="c4",Tabelle!$F$238,IF($E34="c5",Tabelle!$F$239,IF($E34="c6",Tabelle!$F$240,))))))</f>
        <v>106.96435</v>
      </c>
      <c r="S34" s="285">
        <f>IF($E34="d1",Tabelle!$F$241,IF($E34="d2",Tabelle!$F$242,IF($E34="d3",Tabelle!$F$243,IF($E34="d4",Tabelle!$F$244,IF($E34="d5",Tabelle!$F$245,IF($E34="d6",Tabelle!$F$246,IF($E34="d7",Tabelle!$F$247,)))))))</f>
        <v>0</v>
      </c>
      <c r="T34" s="285">
        <f t="shared" si="2"/>
        <v>106.96435</v>
      </c>
      <c r="U34" s="285">
        <f t="shared" si="3"/>
        <v>1791.6528624999999</v>
      </c>
      <c r="V34" s="285"/>
      <c r="W34" s="285">
        <f>IF($D34="A",Tabelle!$B$276,IF(OR($D34="B1",$D34="B3"),Tabelle!$B$277,IF($D34="C",Tabelle!$B$279,IF(OR($D34="D1",$D34="d3"),Tabelle!$B$280,))))</f>
        <v>52.08</v>
      </c>
      <c r="X34" s="285">
        <f>IF($D34="A",Tabelle!$C$276,IF(OR($D34="B1",$D34="B3"),Tabelle!$C$277,IF($D34="C",Tabelle!$C$279,IF(OR($D34="D1",$D34="d3"),Tabelle!$C$280,))))</f>
        <v>497.51999999999992</v>
      </c>
      <c r="Y34" s="285">
        <f t="shared" si="4"/>
        <v>52.08</v>
      </c>
      <c r="Z34" s="285">
        <f t="shared" si="5"/>
        <v>497.51999999999992</v>
      </c>
      <c r="AA34" s="285">
        <f t="shared" si="6"/>
        <v>23841.087212499999</v>
      </c>
      <c r="AB34" s="285">
        <f t="shared" si="7"/>
        <v>347.63413749999995</v>
      </c>
      <c r="AC34" s="87"/>
    </row>
    <row r="35" spans="1:29" s="23" customFormat="1" ht="21" customHeight="1" x14ac:dyDescent="0.25">
      <c r="A35" s="21"/>
      <c r="B35" s="21" t="s">
        <v>256</v>
      </c>
      <c r="C35" s="21" t="s">
        <v>464</v>
      </c>
      <c r="D35" s="296" t="s">
        <v>68</v>
      </c>
      <c r="E35" s="296" t="s">
        <v>20</v>
      </c>
      <c r="F35" s="296">
        <v>36</v>
      </c>
      <c r="G35" s="297">
        <f>IF(D35="a",Tabelle!$E$213,IF(D35="b1",Tabelle!$E$219,IF(D35="b3",Tabelle!$E$221,IF(D35="c",Tabelle!$J$213,IF(D35="d1",Tabelle!$J$219,IF(D35="d3",Tabelle!$J$221,))))))</f>
        <v>18044.370000000003</v>
      </c>
      <c r="H35" s="296">
        <v>12</v>
      </c>
      <c r="I35" s="285">
        <f t="shared" si="0"/>
        <v>18044.370000000003</v>
      </c>
      <c r="J35" s="285">
        <f>IF($E35="a1",Tabelle!$E$213,IF($E35="a2",Tabelle!$E$214,IF($E35="a3",Tabelle!$E$215,IF($E35="a4",Tabelle!$E$216,IF($E35="a5",Tabelle!$E$217,IF($E35="a6",Tabelle!$E$218,))))))</f>
        <v>18044.370000000003</v>
      </c>
      <c r="K35" s="285">
        <f>IF($E35="b1",Tabelle!$E$219,IF($E35="b2",Tabelle!$E$220,IF($E35="b3",Tabelle!$E$221,IF($E35="b4",Tabelle!$E$222,IF($E35="b5",Tabelle!$E$223,IF($E35="b6",Tabelle!$E$224,IF($E35="b7",Tabelle!$C$225,IF($E35="b8",Tabelle!$C$226,))))))))</f>
        <v>0</v>
      </c>
      <c r="L35" s="285">
        <f>IF($E35="c1",Tabelle!$J$213,IF($E35="c2",Tabelle!$J$214,IF($E35="c3",Tabelle!$J$215,IF($E35="c4",Tabelle!$J$216,IF($E35="c5",Tabelle!$J$217,IF($E35="c6",Tabelle!$J$218,))))))</f>
        <v>0</v>
      </c>
      <c r="M35" s="285">
        <f>IF($E35="d1",Tabelle!$J$219,IF($E35="d2",Tabelle!$J$220,IF($E35="d3",Tabelle!$J$221,IF($E35="d4",Tabelle!$J$222,IF($E35="d5",Tabelle!$J$223,IF($E35="d6",Tabelle!$J$224,IF($E35="d7",Tabelle!$J$225,)))))))</f>
        <v>0</v>
      </c>
      <c r="N35" s="285">
        <f t="shared" si="1"/>
        <v>0</v>
      </c>
      <c r="O35" s="285"/>
      <c r="P35" s="285">
        <f>IF($E35="a1",Tabelle!$C$235,IF($E35="a2",Tabelle!$C$236,IF($E35="a3",Tabelle!$C$237,IF($E35="a4",Tabelle!$C$238,IF($E35="a5",Tabelle!$C$239,IF($E35="a6",Tabelle!$C$240,))))))</f>
        <v>90.221850000000018</v>
      </c>
      <c r="Q35" s="285">
        <f>IF($E35="b1",Tabelle!$C$241,IF($E35="b2",Tabelle!$C$242,IF($E35="b3",Tabelle!$C$243,IF($E35="b4",Tabelle!$C$244,IF($E35="b5",Tabelle!$C$245,IF($E35="b6",Tabelle!$C$246,IF($E35="b7",Tabelle!$C$247,IF($E35="b8",Tabelle!$C$248,))))))))</f>
        <v>0</v>
      </c>
      <c r="R35" s="285">
        <f>IF($E35="c1",Tabelle!$F$235,IF($E35="c2",Tabelle!$F$236,IF($E35="c3",Tabelle!$F$237,IF($E35="c4",Tabelle!$F$238,IF($E35="c5",Tabelle!$F$239,IF($E35="c6",Tabelle!$F$240,))))))</f>
        <v>0</v>
      </c>
      <c r="S35" s="285">
        <f>IF($E35="d1",Tabelle!$F$241,IF($E35="d2",Tabelle!$F$242,IF($E35="d3",Tabelle!$F$243,IF($E35="d4",Tabelle!$F$244,IF($E35="d5",Tabelle!$F$245,IF($E35="d6",Tabelle!$F$246,IF($E35="d7",Tabelle!$F$247,)))))))</f>
        <v>0</v>
      </c>
      <c r="T35" s="285">
        <f t="shared" si="2"/>
        <v>90.221850000000018</v>
      </c>
      <c r="U35" s="285">
        <f t="shared" si="3"/>
        <v>1511.2159875000004</v>
      </c>
      <c r="V35" s="285">
        <f>Tabelle!$B$290/12*H35/36*F35</f>
        <v>64.56</v>
      </c>
      <c r="W35" s="285">
        <f>IF($D35="A",Tabelle!$B$276,IF(OR($D35="B1",$D35="B3"),Tabelle!$B$277,IF($D35="C",Tabelle!$B$279,IF(OR($D35="D1",$D35="d3"),Tabelle!$B$280,))))</f>
        <v>37.08</v>
      </c>
      <c r="X35" s="285">
        <f>IF($D35="A",Tabelle!$C$276,IF(OR($D35="B1",$D35="B3"),Tabelle!$C$277,IF($D35="C",Tabelle!$C$279,IF(OR($D35="D1",$D35="d3"),Tabelle!$C$280,))))</f>
        <v>351.6</v>
      </c>
      <c r="Y35" s="285">
        <f t="shared" si="4"/>
        <v>37.08</v>
      </c>
      <c r="Z35" s="285">
        <f t="shared" si="5"/>
        <v>351.6</v>
      </c>
      <c r="AA35" s="285">
        <f t="shared" si="6"/>
        <v>20099.047837500006</v>
      </c>
      <c r="AB35" s="285">
        <f t="shared" si="7"/>
        <v>293.22101250000003</v>
      </c>
      <c r="AC35" s="87"/>
    </row>
    <row r="36" spans="1:29" s="23" customFormat="1" ht="21" customHeight="1" x14ac:dyDescent="0.25">
      <c r="A36" s="21"/>
      <c r="B36" s="21" t="s">
        <v>466</v>
      </c>
      <c r="C36" s="21" t="s">
        <v>461</v>
      </c>
      <c r="D36" s="296" t="s">
        <v>68</v>
      </c>
      <c r="E36" s="296" t="s">
        <v>20</v>
      </c>
      <c r="F36" s="296">
        <v>36</v>
      </c>
      <c r="G36" s="297">
        <f>IF(D36="a",Tabelle!$E$213,IF(D36="b1",Tabelle!$E$219,IF(D36="b3",Tabelle!$E$221,IF(D36="c",Tabelle!$J$213,IF(D36="d1",Tabelle!$J$219,IF(D36="d3",Tabelle!$J$221,))))))</f>
        <v>18044.370000000003</v>
      </c>
      <c r="H36" s="296">
        <v>12</v>
      </c>
      <c r="I36" s="285">
        <f t="shared" si="0"/>
        <v>18044.370000000003</v>
      </c>
      <c r="J36" s="285">
        <f>IF($E36="a1",Tabelle!$E$213,IF($E36="a2",Tabelle!$E$214,IF($E36="a3",Tabelle!$E$215,IF($E36="a4",Tabelle!$E$216,IF($E36="a5",Tabelle!$E$217,IF($E36="a6",Tabelle!$E$218,))))))</f>
        <v>18044.370000000003</v>
      </c>
      <c r="K36" s="285">
        <f>IF($E36="b1",Tabelle!$E$219,IF($E36="b2",Tabelle!$E$220,IF($E36="b3",Tabelle!$E$221,IF($E36="b4",Tabelle!$E$222,IF($E36="b5",Tabelle!$E$223,IF($E36="b6",Tabelle!$E$224,IF($E36="b7",Tabelle!$C$225,IF($E36="b8",Tabelle!$C$226,))))))))</f>
        <v>0</v>
      </c>
      <c r="L36" s="285">
        <f>IF($E36="c1",Tabelle!$J$213,IF($E36="c2",Tabelle!$J$214,IF($E36="c3",Tabelle!$J$215,IF($E36="c4",Tabelle!$J$216,IF($E36="c5",Tabelle!$J$217,IF($E36="c6",Tabelle!$J$218,))))))</f>
        <v>0</v>
      </c>
      <c r="M36" s="285">
        <f>IF($E36="d1",Tabelle!$J$219,IF($E36="d2",Tabelle!$J$220,IF($E36="d3",Tabelle!$J$221,IF($E36="d4",Tabelle!$J$222,IF($E36="d5",Tabelle!$J$223,IF($E36="d6",Tabelle!$J$224,IF($E36="d7",Tabelle!$J$225,)))))))</f>
        <v>0</v>
      </c>
      <c r="N36" s="285">
        <f t="shared" si="1"/>
        <v>0</v>
      </c>
      <c r="O36" s="285"/>
      <c r="P36" s="285">
        <f>IF($E36="a1",Tabelle!$C$235,IF($E36="a2",Tabelle!$C$236,IF($E36="a3",Tabelle!$C$237,IF($E36="a4",Tabelle!$C$238,IF($E36="a5",Tabelle!$C$239,IF($E36="a6",Tabelle!$C$240,))))))</f>
        <v>90.221850000000018</v>
      </c>
      <c r="Q36" s="285">
        <f>IF($E36="b1",Tabelle!$C$241,IF($E36="b2",Tabelle!$C$242,IF($E36="b3",Tabelle!$C$243,IF($E36="b4",Tabelle!$C$244,IF($E36="b5",Tabelle!$C$245,IF($E36="b6",Tabelle!$C$246,IF($E36="b7",Tabelle!$C$247,IF($E36="b8",Tabelle!$C$248,))))))))</f>
        <v>0</v>
      </c>
      <c r="R36" s="285">
        <f>IF($E36="c1",Tabelle!$F$235,IF($E36="c2",Tabelle!$F$236,IF($E36="c3",Tabelle!$F$237,IF($E36="c4",Tabelle!$F$238,IF($E36="c5",Tabelle!$F$239,IF($E36="c6",Tabelle!$F$240,))))))</f>
        <v>0</v>
      </c>
      <c r="S36" s="285">
        <f>IF($E36="d1",Tabelle!$F$241,IF($E36="d2",Tabelle!$F$242,IF($E36="d3",Tabelle!$F$243,IF($E36="d4",Tabelle!$F$244,IF($E36="d5",Tabelle!$F$245,IF($E36="d6",Tabelle!$F$246,IF($E36="d7",Tabelle!$F$247,)))))))</f>
        <v>0</v>
      </c>
      <c r="T36" s="285">
        <f t="shared" si="2"/>
        <v>90.221850000000018</v>
      </c>
      <c r="U36" s="285">
        <f t="shared" si="3"/>
        <v>1511.2159875000004</v>
      </c>
      <c r="V36" s="285">
        <f>Tabelle!$B$290/12*H36/36*F36</f>
        <v>64.56</v>
      </c>
      <c r="W36" s="285">
        <f>IF($D36="A",Tabelle!$B$276,IF(OR($D36="B1",$D36="B3"),Tabelle!$B$277,IF($D36="C",Tabelle!$B$279,IF(OR($D36="D1",$D36="d3"),Tabelle!$B$280,))))</f>
        <v>37.08</v>
      </c>
      <c r="X36" s="285">
        <f>IF($D36="A",Tabelle!$C$276,IF(OR($D36="B1",$D36="B3"),Tabelle!$C$277,IF($D36="C",Tabelle!$C$279,IF(OR($D36="D1",$D36="d3"),Tabelle!$C$280,))))</f>
        <v>351.6</v>
      </c>
      <c r="Y36" s="285">
        <f t="shared" si="4"/>
        <v>37.08</v>
      </c>
      <c r="Z36" s="285">
        <f t="shared" si="5"/>
        <v>351.6</v>
      </c>
      <c r="AA36" s="285">
        <f t="shared" si="6"/>
        <v>20099.047837500006</v>
      </c>
      <c r="AB36" s="285">
        <f t="shared" si="7"/>
        <v>293.22101250000003</v>
      </c>
      <c r="AC36" s="87"/>
    </row>
    <row r="37" spans="1:29" s="23" customFormat="1" ht="21" customHeight="1" x14ac:dyDescent="0.25">
      <c r="A37" s="21"/>
      <c r="B37" s="21" t="s">
        <v>212</v>
      </c>
      <c r="C37" s="21" t="s">
        <v>473</v>
      </c>
      <c r="D37" s="296" t="s">
        <v>26</v>
      </c>
      <c r="E37" s="296" t="s">
        <v>28</v>
      </c>
      <c r="F37" s="296">
        <v>36</v>
      </c>
      <c r="G37" s="297">
        <f>IF(D37="a",Tabelle!$E$213,IF(D37="b1",Tabelle!$E$219,IF(D37="b3",Tabelle!$E$221,IF(D37="c",Tabelle!$J$213,IF(D37="d1",Tabelle!$J$219,IF(D37="d3",Tabelle!$J$221,))))))</f>
        <v>19034.509999999998</v>
      </c>
      <c r="H37" s="296">
        <v>12</v>
      </c>
      <c r="I37" s="285">
        <f t="shared" si="0"/>
        <v>19034.509999999998</v>
      </c>
      <c r="J37" s="285">
        <f>IF($E37="a1",Tabelle!$E$213,IF($E37="a2",Tabelle!$E$214,IF($E37="a3",Tabelle!$E$215,IF($E37="a4",Tabelle!$E$216,IF($E37="a5",Tabelle!$E$217,IF($E37="a6",Tabelle!$E$218,))))))</f>
        <v>0</v>
      </c>
      <c r="K37" s="285">
        <f>IF($E37="b1",Tabelle!$E$219,IF($E37="b2",Tabelle!$E$220,IF($E37="b3",Tabelle!$E$221,IF($E37="b4",Tabelle!$E$222,IF($E37="b5",Tabelle!$E$223,IF($E37="b6",Tabelle!$E$224,IF($E37="b7",Tabelle!$C$225,IF($E37="b8",Tabelle!$C$226,))))))))</f>
        <v>20072.88</v>
      </c>
      <c r="L37" s="285">
        <f>IF($E37="c1",Tabelle!$J$213,IF($E37="c2",Tabelle!$J$214,IF($E37="c3",Tabelle!$J$215,IF($E37="c4",Tabelle!$J$216,IF($E37="c5",Tabelle!$J$217,IF($E37="c6",Tabelle!$J$218,))))))</f>
        <v>0</v>
      </c>
      <c r="M37" s="285">
        <f>IF($E37="d1",Tabelle!$J$219,IF($E37="d2",Tabelle!$J$220,IF($E37="d3",Tabelle!$J$221,IF($E37="d4",Tabelle!$J$222,IF($E37="d5",Tabelle!$J$223,IF($E37="d6",Tabelle!$J$224,IF($E37="d7",Tabelle!$J$225,)))))))</f>
        <v>0</v>
      </c>
      <c r="N37" s="285">
        <f t="shared" si="1"/>
        <v>1038.3700000000026</v>
      </c>
      <c r="O37" s="285"/>
      <c r="P37" s="285">
        <f>IF($E37="a1",Tabelle!$C$235,IF($E37="a2",Tabelle!$C$236,IF($E37="a3",Tabelle!$C$237,IF($E37="a4",Tabelle!$C$238,IF($E37="a5",Tabelle!$C$239,IF($E37="a6",Tabelle!$C$240,))))))</f>
        <v>0</v>
      </c>
      <c r="Q37" s="285">
        <f>IF($E37="b1",Tabelle!$C$241,IF($E37="b2",Tabelle!$C$242,IF($E37="b3",Tabelle!$C$243,IF($E37="b4",Tabelle!$C$244,IF($E37="b5",Tabelle!$C$245,IF($E37="b6",Tabelle!$C$246,IF($E37="b7",Tabelle!$C$247,IF($E37="b8",Tabelle!$C$248,))))))))</f>
        <v>100.3644</v>
      </c>
      <c r="R37" s="285">
        <f>IF($E37="c1",Tabelle!$F$235,IF($E37="c2",Tabelle!$F$236,IF($E37="c3",Tabelle!$F$237,IF($E37="c4",Tabelle!$F$238,IF($E37="c5",Tabelle!$F$239,IF($E37="c6",Tabelle!$F$240,))))))</f>
        <v>0</v>
      </c>
      <c r="S37" s="285">
        <f>IF($E37="d1",Tabelle!$F$241,IF($E37="d2",Tabelle!$F$242,IF($E37="d3",Tabelle!$F$243,IF($E37="d4",Tabelle!$F$244,IF($E37="d5",Tabelle!$F$245,IF($E37="d6",Tabelle!$F$246,IF($E37="d7",Tabelle!$F$247,)))))))</f>
        <v>0</v>
      </c>
      <c r="T37" s="285">
        <f t="shared" si="2"/>
        <v>100.36439999999999</v>
      </c>
      <c r="U37" s="285">
        <f t="shared" si="3"/>
        <v>1681.1036999999999</v>
      </c>
      <c r="V37" s="285">
        <f>Tabelle!$B$290/12*H37/36*F37</f>
        <v>64.56</v>
      </c>
      <c r="W37" s="285">
        <f>IF($D37="A",Tabelle!$B$276,IF(OR($D37="B1",$D37="B3"),Tabelle!$B$277,IF($D37="C",Tabelle!$B$279,IF(OR($D37="D1",$D37="d3"),Tabelle!$B$280,))))</f>
        <v>44.76</v>
      </c>
      <c r="X37" s="285">
        <f>IF($D37="A",Tabelle!$C$276,IF(OR($D37="B1",$D37="B3"),Tabelle!$C$277,IF($D37="C",Tabelle!$C$279,IF(OR($D37="D1",$D37="d3"),Tabelle!$C$280,))))</f>
        <v>426.84</v>
      </c>
      <c r="Y37" s="285">
        <f t="shared" si="4"/>
        <v>44.759999999999991</v>
      </c>
      <c r="Z37" s="285">
        <f t="shared" si="5"/>
        <v>426.84000000000003</v>
      </c>
      <c r="AA37" s="285">
        <f t="shared" si="6"/>
        <v>22390.508099999999</v>
      </c>
      <c r="AB37" s="285">
        <f t="shared" si="7"/>
        <v>326.18430000000001</v>
      </c>
      <c r="AC37" s="87"/>
    </row>
    <row r="38" spans="1:29" s="23" customFormat="1" ht="21" customHeight="1" x14ac:dyDescent="0.25">
      <c r="A38" s="21"/>
      <c r="B38" s="21" t="s">
        <v>454</v>
      </c>
      <c r="C38" s="21" t="s">
        <v>455</v>
      </c>
      <c r="D38" s="296" t="s">
        <v>40</v>
      </c>
      <c r="E38" s="296" t="s">
        <v>40</v>
      </c>
      <c r="F38" s="296">
        <v>36</v>
      </c>
      <c r="G38" s="297">
        <f>IF(D38="a",Tabelle!$E$213,IF(D38="b1",Tabelle!$E$219,IF(D38="b3",Tabelle!$E$221,IF(D38="c",Tabelle!$J$213,IF(D38="d1",Tabelle!$J$219,IF(D38="d3",Tabelle!$J$221,))))))</f>
        <v>23212.349999999995</v>
      </c>
      <c r="H38" s="296">
        <v>12</v>
      </c>
      <c r="I38" s="285">
        <f t="shared" si="0"/>
        <v>23212.35</v>
      </c>
      <c r="J38" s="285">
        <f>IF($E38="a1",Tabelle!$E$213,IF($E38="a2",Tabelle!$E$214,IF($E38="a3",Tabelle!$E$215,IF($E38="a4",Tabelle!$E$216,IF($E38="a5",Tabelle!$E$217,IF($E38="a6",Tabelle!$E$218,))))))</f>
        <v>0</v>
      </c>
      <c r="K38" s="285">
        <f>IF($E38="b1",Tabelle!$E$219,IF($E38="b2",Tabelle!$E$220,IF($E38="b3",Tabelle!$E$221,IF($E38="b4",Tabelle!$E$222,IF($E38="b5",Tabelle!$E$223,IF($E38="b6",Tabelle!$E$224,IF($E38="b7",Tabelle!$C$225,IF($E38="b8",Tabelle!$C$226,))))))))</f>
        <v>0</v>
      </c>
      <c r="L38" s="285">
        <f>IF($E38="c1",Tabelle!$J$213,IF($E38="c2",Tabelle!$J$214,IF($E38="c3",Tabelle!$J$215,IF($E38="c4",Tabelle!$J$216,IF($E38="c5",Tabelle!$J$217,IF($E38="c6",Tabelle!$J$218,))))))</f>
        <v>0</v>
      </c>
      <c r="M38" s="285">
        <f>IF($E38="d1",Tabelle!$J$219,IF($E38="d2",Tabelle!$J$220,IF($E38="d3",Tabelle!$J$221,IF($E38="d4",Tabelle!$J$222,IF($E38="d5",Tabelle!$J$223,IF($E38="d6",Tabelle!$J$224,IF($E38="d7",Tabelle!$J$225,)))))))</f>
        <v>23212.349999999995</v>
      </c>
      <c r="N38" s="285">
        <f t="shared" si="1"/>
        <v>0</v>
      </c>
      <c r="O38" s="285"/>
      <c r="P38" s="285">
        <f>IF($E38="a1",Tabelle!$C$235,IF($E38="a2",Tabelle!$C$236,IF($E38="a3",Tabelle!$C$237,IF($E38="a4",Tabelle!$C$238,IF($E38="a5",Tabelle!$C$239,IF($E38="a6",Tabelle!$C$240,))))))</f>
        <v>0</v>
      </c>
      <c r="Q38" s="285">
        <f>IF($E38="b1",Tabelle!$C$241,IF($E38="b2",Tabelle!$C$242,IF($E38="b3",Tabelle!$C$243,IF($E38="b4",Tabelle!$C$244,IF($E38="b5",Tabelle!$C$245,IF($E38="b6",Tabelle!$C$246,IF($E38="b7",Tabelle!$C$247,IF($E38="b8",Tabelle!$C$248,))))))))</f>
        <v>0</v>
      </c>
      <c r="R38" s="285">
        <f>IF($E38="c1",Tabelle!$F$235,IF($E38="c2",Tabelle!$F$236,IF($E38="c3",Tabelle!$F$237,IF($E38="c4",Tabelle!$F$238,IF($E38="c5",Tabelle!$F$239,IF($E38="c6",Tabelle!$F$240,))))))</f>
        <v>0</v>
      </c>
      <c r="S38" s="285">
        <f>IF($E38="d1",Tabelle!$F$241,IF($E38="d2",Tabelle!$F$242,IF($E38="d3",Tabelle!$F$243,IF($E38="d4",Tabelle!$F$244,IF($E38="d5",Tabelle!$F$245,IF($E38="d6",Tabelle!$F$246,IF($E38="d7",Tabelle!$F$247,)))))))</f>
        <v>116.06174999999998</v>
      </c>
      <c r="T38" s="285">
        <f t="shared" si="2"/>
        <v>116.06174999999998</v>
      </c>
      <c r="U38" s="285">
        <f t="shared" si="3"/>
        <v>1944.0343124999999</v>
      </c>
      <c r="V38" s="285"/>
      <c r="W38" s="285">
        <f>IF($D38="A",Tabelle!$B$276,IF(OR($D38="B1",$D38="B3"),Tabelle!$B$277,IF($D38="C",Tabelle!$B$279,IF(OR($D38="D1",$D38="d3"),Tabelle!$B$280,))))</f>
        <v>59.4</v>
      </c>
      <c r="X38" s="285">
        <f>IF($D38="A",Tabelle!$C$276,IF(OR($D38="B1",$D38="B3"),Tabelle!$C$277,IF($D38="C",Tabelle!$C$279,IF(OR($D38="D1",$D38="d3"),Tabelle!$C$280,))))</f>
        <v>563.4</v>
      </c>
      <c r="Y38" s="285">
        <f t="shared" si="4"/>
        <v>59.400000000000006</v>
      </c>
      <c r="Z38" s="285">
        <f t="shared" si="5"/>
        <v>563.4</v>
      </c>
      <c r="AA38" s="285">
        <f t="shared" si="6"/>
        <v>25895.246062500002</v>
      </c>
      <c r="AB38" s="285">
        <f t="shared" si="7"/>
        <v>377.2006874999999</v>
      </c>
      <c r="AC38" s="87"/>
    </row>
    <row r="39" spans="1:29" s="23" customFormat="1" ht="21" customHeight="1" x14ac:dyDescent="0.25">
      <c r="A39" s="21"/>
      <c r="B39" s="21" t="s">
        <v>204</v>
      </c>
      <c r="C39" s="21" t="s">
        <v>476</v>
      </c>
      <c r="D39" s="296" t="s">
        <v>68</v>
      </c>
      <c r="E39" s="296" t="s">
        <v>22</v>
      </c>
      <c r="F39" s="296">
        <v>36</v>
      </c>
      <c r="G39" s="297">
        <f>IF(D39="a",Tabelle!$E$213,IF(D39="b1",Tabelle!$E$219,IF(D39="b3",Tabelle!$E$221,IF(D39="c",Tabelle!$J$213,IF(D39="d1",Tabelle!$J$219,IF(D39="d3",Tabelle!$J$221,))))))</f>
        <v>18044.370000000003</v>
      </c>
      <c r="H39" s="296">
        <v>12</v>
      </c>
      <c r="I39" s="285">
        <f t="shared" si="0"/>
        <v>18044.370000000003</v>
      </c>
      <c r="J39" s="285">
        <f>IF($E39="a1",Tabelle!$E$213,IF($E39="a2",Tabelle!$E$214,IF($E39="a3",Tabelle!$E$215,IF($E39="a4",Tabelle!$E$216,IF($E39="a5",Tabelle!$E$217,IF($E39="a6",Tabelle!$E$218,))))))</f>
        <v>18653.28</v>
      </c>
      <c r="K39" s="285">
        <f>IF($E39="b1",Tabelle!$E$219,IF($E39="b2",Tabelle!$E$220,IF($E39="b3",Tabelle!$E$221,IF($E39="b4",Tabelle!$E$222,IF($E39="b5",Tabelle!$E$223,IF($E39="b6",Tabelle!$E$224,IF($E39="b7",Tabelle!$C$225,IF($E39="b8",Tabelle!$C$226,))))))))</f>
        <v>0</v>
      </c>
      <c r="L39" s="285">
        <f>IF($E39="c1",Tabelle!$J$213,IF($E39="c2",Tabelle!$J$214,IF($E39="c3",Tabelle!$J$215,IF($E39="c4",Tabelle!$J$216,IF($E39="c5",Tabelle!$J$217,IF($E39="c6",Tabelle!$J$218,))))))</f>
        <v>0</v>
      </c>
      <c r="M39" s="285">
        <f>IF($E39="d1",Tabelle!$J$219,IF($E39="d2",Tabelle!$J$220,IF($E39="d3",Tabelle!$J$221,IF($E39="d4",Tabelle!$J$222,IF($E39="d5",Tabelle!$J$223,IF($E39="d6",Tabelle!$J$224,IF($E39="d7",Tabelle!$J$225,)))))))</f>
        <v>0</v>
      </c>
      <c r="N39" s="285">
        <f t="shared" si="1"/>
        <v>608.90999999999622</v>
      </c>
      <c r="O39" s="285"/>
      <c r="P39" s="285">
        <f>IF($E39="a1",Tabelle!$C$235,IF($E39="a2",Tabelle!$C$236,IF($E39="a3",Tabelle!$C$237,IF($E39="a4",Tabelle!$C$238,IF($E39="a5",Tabelle!$C$239,IF($E39="a6",Tabelle!$C$240,))))))</f>
        <v>93.26639999999999</v>
      </c>
      <c r="Q39" s="285">
        <f>IF($E39="b1",Tabelle!$C$241,IF($E39="b2",Tabelle!$C$242,IF($E39="b3",Tabelle!$C$243,IF($E39="b4",Tabelle!$C$244,IF($E39="b5",Tabelle!$C$245,IF($E39="b6",Tabelle!$C$246,IF($E39="b7",Tabelle!$C$247,IF($E39="b8",Tabelle!$C$248,))))))))</f>
        <v>0</v>
      </c>
      <c r="R39" s="285">
        <f>IF($E39="c1",Tabelle!$F$235,IF($E39="c2",Tabelle!$F$236,IF($E39="c3",Tabelle!$F$237,IF($E39="c4",Tabelle!$F$238,IF($E39="c5",Tabelle!$F$239,IF($E39="c6",Tabelle!$F$240,))))))</f>
        <v>0</v>
      </c>
      <c r="S39" s="285">
        <f>IF($E39="d1",Tabelle!$F$241,IF($E39="d2",Tabelle!$F$242,IF($E39="d3",Tabelle!$F$243,IF($E39="d4",Tabelle!$F$244,IF($E39="d5",Tabelle!$F$245,IF($E39="d6",Tabelle!$F$246,IF($E39="d7",Tabelle!$F$247,)))))))</f>
        <v>0</v>
      </c>
      <c r="T39" s="285">
        <f t="shared" si="2"/>
        <v>93.26639999999999</v>
      </c>
      <c r="U39" s="285">
        <f t="shared" si="3"/>
        <v>1562.2121999999999</v>
      </c>
      <c r="V39" s="285">
        <f>Tabelle!$B$290/12*H39/36*F39</f>
        <v>64.56</v>
      </c>
      <c r="W39" s="285">
        <f>IF($D39="A",Tabelle!$B$276,IF(OR($D39="B1",$D39="B3"),Tabelle!$B$277,IF($D39="C",Tabelle!$B$279,IF(OR($D39="D1",$D39="d3"),Tabelle!$B$280,))))</f>
        <v>37.08</v>
      </c>
      <c r="X39" s="285">
        <f>IF($D39="A",Tabelle!$C$276,IF(OR($D39="B1",$D39="B3"),Tabelle!$C$277,IF($D39="C",Tabelle!$C$279,IF(OR($D39="D1",$D39="d3"),Tabelle!$C$280,))))</f>
        <v>351.6</v>
      </c>
      <c r="Y39" s="285">
        <f t="shared" si="4"/>
        <v>37.08</v>
      </c>
      <c r="Z39" s="285">
        <f t="shared" si="5"/>
        <v>351.6</v>
      </c>
      <c r="AA39" s="285">
        <f t="shared" si="6"/>
        <v>20761.998600000003</v>
      </c>
      <c r="AB39" s="285">
        <f t="shared" si="7"/>
        <v>303.11579999999998</v>
      </c>
      <c r="AC39" s="87"/>
    </row>
    <row r="40" spans="1:29" s="23" customFormat="1" ht="21" customHeight="1" x14ac:dyDescent="0.25">
      <c r="A40" s="21"/>
      <c r="B40" s="21" t="s">
        <v>222</v>
      </c>
      <c r="C40" s="21" t="s">
        <v>465</v>
      </c>
      <c r="D40" s="296" t="s">
        <v>26</v>
      </c>
      <c r="E40" s="296" t="s">
        <v>30</v>
      </c>
      <c r="F40" s="296">
        <v>36</v>
      </c>
      <c r="G40" s="297">
        <f>IF(D40="a",Tabelle!$E$213,IF(D40="b1",Tabelle!$E$219,IF(D40="b3",Tabelle!$E$221,IF(D40="c",Tabelle!$J$213,IF(D40="d1",Tabelle!$J$219,IF(D40="d3",Tabelle!$J$221,))))))</f>
        <v>19034.509999999998</v>
      </c>
      <c r="H40" s="296">
        <v>12</v>
      </c>
      <c r="I40" s="285">
        <f t="shared" si="0"/>
        <v>19034.509999999998</v>
      </c>
      <c r="J40" s="285">
        <f>IF($E40="a1",Tabelle!$E$213,IF($E40="a2",Tabelle!$E$214,IF($E40="a3",Tabelle!$E$215,IF($E40="a4",Tabelle!$E$216,IF($E40="a5",Tabelle!$E$217,IF($E40="a6",Tabelle!$E$218,))))))</f>
        <v>0</v>
      </c>
      <c r="K40" s="285">
        <f>IF($E40="b1",Tabelle!$E$219,IF($E40="b2",Tabelle!$E$220,IF($E40="b3",Tabelle!$E$221,IF($E40="b4",Tabelle!$E$222,IF($E40="b5",Tabelle!$E$223,IF($E40="b6",Tabelle!$E$224,IF($E40="b7",Tabelle!$C$225,IF($E40="b8",Tabelle!$C$226,))))))))</f>
        <v>20692.310000000001</v>
      </c>
      <c r="L40" s="285">
        <f>IF($E40="c1",Tabelle!$J$213,IF($E40="c2",Tabelle!$J$214,IF($E40="c3",Tabelle!$J$215,IF($E40="c4",Tabelle!$J$216,IF($E40="c5",Tabelle!$J$217,IF($E40="c6",Tabelle!$J$218,))))))</f>
        <v>0</v>
      </c>
      <c r="M40" s="285">
        <f>IF($E40="d1",Tabelle!$J$219,IF($E40="d2",Tabelle!$J$220,IF($E40="d3",Tabelle!$J$221,IF($E40="d4",Tabelle!$J$222,IF($E40="d5",Tabelle!$J$223,IF($E40="d6",Tabelle!$J$224,IF($E40="d7",Tabelle!$J$225,)))))))</f>
        <v>0</v>
      </c>
      <c r="N40" s="285">
        <f t="shared" si="1"/>
        <v>1657.8000000000029</v>
      </c>
      <c r="O40" s="285"/>
      <c r="P40" s="285">
        <f>IF($E40="a1",Tabelle!$C$235,IF($E40="a2",Tabelle!$C$236,IF($E40="a3",Tabelle!$C$237,IF($E40="a4",Tabelle!$C$238,IF($E40="a5",Tabelle!$C$239,IF($E40="a6",Tabelle!$C$240,))))))</f>
        <v>0</v>
      </c>
      <c r="Q40" s="285">
        <f>IF($E40="b1",Tabelle!$C$241,IF($E40="b2",Tabelle!$C$242,IF($E40="b3",Tabelle!$C$243,IF($E40="b4",Tabelle!$C$244,IF($E40="b5",Tabelle!$C$245,IF($E40="b6",Tabelle!$C$246,IF($E40="b7",Tabelle!$C$247,IF($E40="b8",Tabelle!$C$248,))))))))</f>
        <v>103.46155</v>
      </c>
      <c r="R40" s="285">
        <f>IF($E40="c1",Tabelle!$F$235,IF($E40="c2",Tabelle!$F$236,IF($E40="c3",Tabelle!$F$237,IF($E40="c4",Tabelle!$F$238,IF($E40="c5",Tabelle!$F$239,IF($E40="c6",Tabelle!$F$240,))))))</f>
        <v>0</v>
      </c>
      <c r="S40" s="285">
        <f>IF($E40="d1",Tabelle!$F$241,IF($E40="d2",Tabelle!$F$242,IF($E40="d3",Tabelle!$F$243,IF($E40="d4",Tabelle!$F$244,IF($E40="d5",Tabelle!$F$245,IF($E40="d6",Tabelle!$F$246,IF($E40="d7",Tabelle!$F$247,)))))))</f>
        <v>0</v>
      </c>
      <c r="T40" s="285">
        <f t="shared" si="2"/>
        <v>103.46155</v>
      </c>
      <c r="U40" s="285">
        <f t="shared" si="3"/>
        <v>1732.9809625</v>
      </c>
      <c r="V40" s="285"/>
      <c r="W40" s="285">
        <f>IF($D40="A",Tabelle!$B$276,IF(OR($D40="B1",$D40="B3"),Tabelle!$B$277,IF($D40="C",Tabelle!$B$279,IF(OR($D40="D1",$D40="d3"),Tabelle!$B$280,))))</f>
        <v>44.76</v>
      </c>
      <c r="X40" s="285">
        <f>IF($D40="A",Tabelle!$C$276,IF(OR($D40="B1",$D40="B3"),Tabelle!$C$277,IF($D40="C",Tabelle!$C$279,IF(OR($D40="D1",$D40="d3"),Tabelle!$C$280,))))</f>
        <v>426.84</v>
      </c>
      <c r="Y40" s="285">
        <f t="shared" si="4"/>
        <v>44.759999999999991</v>
      </c>
      <c r="Z40" s="285">
        <f t="shared" si="5"/>
        <v>426.84000000000003</v>
      </c>
      <c r="AA40" s="285">
        <f t="shared" si="6"/>
        <v>23000.352512500001</v>
      </c>
      <c r="AB40" s="285">
        <f t="shared" si="7"/>
        <v>336.25003750000002</v>
      </c>
      <c r="AC40" s="87"/>
    </row>
    <row r="41" spans="1:29" s="23" customFormat="1" ht="21" customHeight="1" x14ac:dyDescent="0.25">
      <c r="A41" s="21"/>
      <c r="B41" s="21" t="s">
        <v>245</v>
      </c>
      <c r="C41" s="21" t="s">
        <v>471</v>
      </c>
      <c r="D41" s="296" t="s">
        <v>55</v>
      </c>
      <c r="E41" s="296" t="s">
        <v>39</v>
      </c>
      <c r="F41" s="296">
        <v>36</v>
      </c>
      <c r="G41" s="297">
        <f>IF(D41="a",Tabelle!$E$213,IF(D41="b1",Tabelle!$E$219,IF(D41="b3",Tabelle!$E$221,IF(D41="c",Tabelle!$J$213,IF(D41="d1",Tabelle!$J$219,IF(D41="d3",Tabelle!$J$221,))))))</f>
        <v>21392.87</v>
      </c>
      <c r="H41" s="296">
        <v>12</v>
      </c>
      <c r="I41" s="285">
        <f t="shared" si="0"/>
        <v>21392.87</v>
      </c>
      <c r="J41" s="285">
        <f>IF($E41="a1",Tabelle!$E$213,IF($E41="a2",Tabelle!$E$214,IF($E41="a3",Tabelle!$E$215,IF($E41="a4",Tabelle!$E$216,IF($E41="a5",Tabelle!$E$217,IF($E41="a6",Tabelle!$E$218,))))))</f>
        <v>0</v>
      </c>
      <c r="K41" s="285">
        <f>IF($E41="b1",Tabelle!$E$219,IF($E41="b2",Tabelle!$E$220,IF($E41="b3",Tabelle!$E$221,IF($E41="b4",Tabelle!$E$222,IF($E41="b5",Tabelle!$E$223,IF($E41="b6",Tabelle!$E$224,IF($E41="b7",Tabelle!$C$225,IF($E41="b8",Tabelle!$C$226,))))))))</f>
        <v>0</v>
      </c>
      <c r="L41" s="285">
        <f>IF($E41="c1",Tabelle!$J$213,IF($E41="c2",Tabelle!$J$214,IF($E41="c3",Tabelle!$J$215,IF($E41="c4",Tabelle!$J$216,IF($E41="c5",Tabelle!$J$217,IF($E41="c6",Tabelle!$J$218,))))))</f>
        <v>24655</v>
      </c>
      <c r="M41" s="285">
        <f>IF($E41="d1",Tabelle!$J$219,IF($E41="d2",Tabelle!$J$220,IF($E41="d3",Tabelle!$J$221,IF($E41="d4",Tabelle!$J$222,IF($E41="d5",Tabelle!$J$223,IF($E41="d6",Tabelle!$J$224,IF($E41="d7",Tabelle!$J$225,)))))))</f>
        <v>0</v>
      </c>
      <c r="N41" s="285">
        <f t="shared" si="1"/>
        <v>3262.130000000001</v>
      </c>
      <c r="O41" s="285"/>
      <c r="P41" s="285">
        <f>IF($E41="a1",Tabelle!$C$235,IF($E41="a2",Tabelle!$C$236,IF($E41="a3",Tabelle!$C$237,IF($E41="a4",Tabelle!$C$238,IF($E41="a5",Tabelle!$C$239,IF($E41="a6",Tabelle!$C$240,))))))</f>
        <v>0</v>
      </c>
      <c r="Q41" s="285">
        <f>IF($E41="b1",Tabelle!$C$241,IF($E41="b2",Tabelle!$C$242,IF($E41="b3",Tabelle!$C$243,IF($E41="b4",Tabelle!$C$244,IF($E41="b5",Tabelle!$C$245,IF($E41="b6",Tabelle!$C$246,IF($E41="b7",Tabelle!$C$247,IF($E41="b8",Tabelle!$C$248,))))))))</f>
        <v>0</v>
      </c>
      <c r="R41" s="285">
        <f>IF($E41="c1",Tabelle!$F$235,IF($E41="c2",Tabelle!$F$236,IF($E41="c3",Tabelle!$F$237,IF($E41="c4",Tabelle!$F$238,IF($E41="c5",Tabelle!$F$239,IF($E41="c6",Tabelle!$F$240,))))))</f>
        <v>123.27500000000001</v>
      </c>
      <c r="S41" s="285">
        <f>IF($E41="d1",Tabelle!$F$241,IF($E41="d2",Tabelle!$F$242,IF($E41="d3",Tabelle!$F$243,IF($E41="d4",Tabelle!$F$244,IF($E41="d5",Tabelle!$F$245,IF($E41="d6",Tabelle!$F$246,IF($E41="d7",Tabelle!$F$247,)))))))</f>
        <v>0</v>
      </c>
      <c r="T41" s="285">
        <f t="shared" si="2"/>
        <v>123.27500000000001</v>
      </c>
      <c r="U41" s="285">
        <f t="shared" si="3"/>
        <v>2064.8562500000003</v>
      </c>
      <c r="V41" s="285"/>
      <c r="W41" s="285">
        <f>IF($D41="A",Tabelle!$B$276,IF(OR($D41="B1",$D41="B3"),Tabelle!$B$277,IF($D41="C",Tabelle!$B$279,IF(OR($D41="D1",$D41="d3"),Tabelle!$B$280,))))</f>
        <v>52.08</v>
      </c>
      <c r="X41" s="285">
        <f>IF($D41="A",Tabelle!$C$276,IF(OR($D41="B1",$D41="B3"),Tabelle!$C$277,IF($D41="C",Tabelle!$C$279,IF(OR($D41="D1",$D41="d3"),Tabelle!$C$280,))))</f>
        <v>497.51999999999992</v>
      </c>
      <c r="Y41" s="285">
        <f t="shared" si="4"/>
        <v>52.08</v>
      </c>
      <c r="Z41" s="285">
        <f t="shared" si="5"/>
        <v>497.51999999999992</v>
      </c>
      <c r="AA41" s="285">
        <f t="shared" si="6"/>
        <v>27392.731250000004</v>
      </c>
      <c r="AB41" s="285">
        <f t="shared" si="7"/>
        <v>400.64374999999995</v>
      </c>
      <c r="AC41" s="87"/>
    </row>
    <row r="42" spans="1:29" s="23" customFormat="1" ht="21" customHeight="1" x14ac:dyDescent="0.25">
      <c r="A42" s="21"/>
      <c r="B42" s="21" t="s">
        <v>223</v>
      </c>
      <c r="C42" s="21" t="s">
        <v>465</v>
      </c>
      <c r="D42" s="296" t="s">
        <v>26</v>
      </c>
      <c r="E42" s="296" t="s">
        <v>30</v>
      </c>
      <c r="F42" s="296">
        <v>36</v>
      </c>
      <c r="G42" s="297">
        <f>IF(D42="a",Tabelle!$E$213,IF(D42="b1",Tabelle!$E$219,IF(D42="b3",Tabelle!$E$221,IF(D42="c",Tabelle!$J$213,IF(D42="d1",Tabelle!$J$219,IF(D42="d3",Tabelle!$J$221,))))))</f>
        <v>19034.509999999998</v>
      </c>
      <c r="H42" s="296">
        <v>12</v>
      </c>
      <c r="I42" s="285">
        <f t="shared" si="0"/>
        <v>19034.509999999998</v>
      </c>
      <c r="J42" s="285">
        <f>IF($E42="a1",Tabelle!$E$213,IF($E42="a2",Tabelle!$E$214,IF($E42="a3",Tabelle!$E$215,IF($E42="a4",Tabelle!$E$216,IF($E42="a5",Tabelle!$E$217,IF($E42="a6",Tabelle!$E$218,))))))</f>
        <v>0</v>
      </c>
      <c r="K42" s="285">
        <f>IF($E42="b1",Tabelle!$E$219,IF($E42="b2",Tabelle!$E$220,IF($E42="b3",Tabelle!$E$221,IF($E42="b4",Tabelle!$E$222,IF($E42="b5",Tabelle!$E$223,IF($E42="b6",Tabelle!$E$224,IF($E42="b7",Tabelle!$C$225,IF($E42="b8",Tabelle!$C$226,))))))))</f>
        <v>20692.310000000001</v>
      </c>
      <c r="L42" s="285">
        <f>IF($E42="c1",Tabelle!$J$213,IF($E42="c2",Tabelle!$J$214,IF($E42="c3",Tabelle!$J$215,IF($E42="c4",Tabelle!$J$216,IF($E42="c5",Tabelle!$J$217,IF($E42="c6",Tabelle!$J$218,))))))</f>
        <v>0</v>
      </c>
      <c r="M42" s="285">
        <f>IF($E42="d1",Tabelle!$J$219,IF($E42="d2",Tabelle!$J$220,IF($E42="d3",Tabelle!$J$221,IF($E42="d4",Tabelle!$J$222,IF($E42="d5",Tabelle!$J$223,IF($E42="d6",Tabelle!$J$224,IF($E42="d7",Tabelle!$J$225,)))))))</f>
        <v>0</v>
      </c>
      <c r="N42" s="285">
        <f t="shared" si="1"/>
        <v>1657.8000000000029</v>
      </c>
      <c r="O42" s="285"/>
      <c r="P42" s="285">
        <f>IF($E42="a1",Tabelle!$C$235,IF($E42="a2",Tabelle!$C$236,IF($E42="a3",Tabelle!$C$237,IF($E42="a4",Tabelle!$C$238,IF($E42="a5",Tabelle!$C$239,IF($E42="a6",Tabelle!$C$240,))))))</f>
        <v>0</v>
      </c>
      <c r="Q42" s="285">
        <f>IF($E42="b1",Tabelle!$C$241,IF($E42="b2",Tabelle!$C$242,IF($E42="b3",Tabelle!$C$243,IF($E42="b4",Tabelle!$C$244,IF($E42="b5",Tabelle!$C$245,IF($E42="b6",Tabelle!$C$246,IF($E42="b7",Tabelle!$C$247,IF($E42="b8",Tabelle!$C$248,))))))))</f>
        <v>103.46155</v>
      </c>
      <c r="R42" s="285">
        <f>IF($E42="c1",Tabelle!$F$235,IF($E42="c2",Tabelle!$F$236,IF($E42="c3",Tabelle!$F$237,IF($E42="c4",Tabelle!$F$238,IF($E42="c5",Tabelle!$F$239,IF($E42="c6",Tabelle!$F$240,))))))</f>
        <v>0</v>
      </c>
      <c r="S42" s="285">
        <f>IF($E42="d1",Tabelle!$F$241,IF($E42="d2",Tabelle!$F$242,IF($E42="d3",Tabelle!$F$243,IF($E42="d4",Tabelle!$F$244,IF($E42="d5",Tabelle!$F$245,IF($E42="d6",Tabelle!$F$246,IF($E42="d7",Tabelle!$F$247,)))))))</f>
        <v>0</v>
      </c>
      <c r="T42" s="285">
        <f t="shared" si="2"/>
        <v>103.46155</v>
      </c>
      <c r="U42" s="285">
        <f t="shared" si="3"/>
        <v>1732.9809625</v>
      </c>
      <c r="V42" s="285"/>
      <c r="W42" s="285">
        <f>IF($D42="A",Tabelle!$B$276,IF(OR($D42="B1",$D42="B3"),Tabelle!$B$277,IF($D42="C",Tabelle!$B$279,IF(OR($D42="D1",$D42="d3"),Tabelle!$B$280,))))</f>
        <v>44.76</v>
      </c>
      <c r="X42" s="285">
        <f>IF($D42="A",Tabelle!$C$276,IF(OR($D42="B1",$D42="B3"),Tabelle!$C$277,IF($D42="C",Tabelle!$C$279,IF(OR($D42="D1",$D42="d3"),Tabelle!$C$280,))))</f>
        <v>426.84</v>
      </c>
      <c r="Y42" s="285">
        <f t="shared" si="4"/>
        <v>44.759999999999991</v>
      </c>
      <c r="Z42" s="285">
        <f t="shared" si="5"/>
        <v>426.84000000000003</v>
      </c>
      <c r="AA42" s="285">
        <f t="shared" si="6"/>
        <v>23000.352512500001</v>
      </c>
      <c r="AB42" s="285">
        <f t="shared" si="7"/>
        <v>336.25003750000002</v>
      </c>
      <c r="AC42" s="87"/>
    </row>
    <row r="43" spans="1:29" s="23" customFormat="1" ht="21" customHeight="1" x14ac:dyDescent="0.25">
      <c r="A43" s="21"/>
      <c r="B43" s="21" t="s">
        <v>208</v>
      </c>
      <c r="C43" s="21" t="s">
        <v>479</v>
      </c>
      <c r="D43" s="296" t="s">
        <v>68</v>
      </c>
      <c r="E43" s="296" t="s">
        <v>25</v>
      </c>
      <c r="F43" s="296">
        <v>36</v>
      </c>
      <c r="G43" s="297">
        <f>IF(D43="a",Tabelle!$E$213,IF(D43="b1",Tabelle!$E$219,IF(D43="b3",Tabelle!$E$221,IF(D43="c",Tabelle!$J$213,IF(D43="d1",Tabelle!$J$219,IF(D43="d3",Tabelle!$J$221,))))))</f>
        <v>18044.370000000003</v>
      </c>
      <c r="H43" s="296">
        <v>12</v>
      </c>
      <c r="I43" s="285">
        <f t="shared" si="0"/>
        <v>18044.370000000003</v>
      </c>
      <c r="J43" s="285">
        <f>IF($E43="a1",Tabelle!$E$213,IF($E43="a2",Tabelle!$E$214,IF($E43="a3",Tabelle!$E$215,IF($E43="a4",Tabelle!$E$216,IF($E43="a5",Tabelle!$E$217,IF($E43="a6",Tabelle!$E$218,))))))</f>
        <v>19676.93</v>
      </c>
      <c r="K43" s="285">
        <f>IF($E43="b1",Tabelle!$E$219,IF($E43="b2",Tabelle!$E$220,IF($E43="b3",Tabelle!$E$221,IF($E43="b4",Tabelle!$E$222,IF($E43="b5",Tabelle!$E$223,IF($E43="b6",Tabelle!$E$224,IF($E43="b7",Tabelle!$C$225,IF($E43="b8",Tabelle!$C$226,))))))))</f>
        <v>0</v>
      </c>
      <c r="L43" s="285">
        <f>IF($E43="c1",Tabelle!$J$213,IF($E43="c2",Tabelle!$J$214,IF($E43="c3",Tabelle!$J$215,IF($E43="c4",Tabelle!$J$216,IF($E43="c5",Tabelle!$J$217,IF($E43="c6",Tabelle!$J$218,))))))</f>
        <v>0</v>
      </c>
      <c r="M43" s="285">
        <f>IF($E43="d1",Tabelle!$J$219,IF($E43="d2",Tabelle!$J$220,IF($E43="d3",Tabelle!$J$221,IF($E43="d4",Tabelle!$J$222,IF($E43="d5",Tabelle!$J$223,IF($E43="d6",Tabelle!$J$224,IF($E43="d7",Tabelle!$J$225,)))))))</f>
        <v>0</v>
      </c>
      <c r="N43" s="285">
        <f t="shared" si="1"/>
        <v>1632.5599999999977</v>
      </c>
      <c r="O43" s="285"/>
      <c r="P43" s="285">
        <f>IF($E43="a1",Tabelle!$C$235,IF($E43="a2",Tabelle!$C$236,IF($E43="a3",Tabelle!$C$237,IF($E43="a4",Tabelle!$C$238,IF($E43="a5",Tabelle!$C$239,IF($E43="a6",Tabelle!$C$240,))))))</f>
        <v>98.384650000000008</v>
      </c>
      <c r="Q43" s="285">
        <f>IF($E43="b1",Tabelle!$C$241,IF($E43="b2",Tabelle!$C$242,IF($E43="b3",Tabelle!$C$243,IF($E43="b4",Tabelle!$C$244,IF($E43="b5",Tabelle!$C$245,IF($E43="b6",Tabelle!$C$246,IF($E43="b7",Tabelle!$C$247,IF($E43="b8",Tabelle!$C$248,))))))))</f>
        <v>0</v>
      </c>
      <c r="R43" s="285">
        <f>IF($E43="c1",Tabelle!$F$235,IF($E43="c2",Tabelle!$F$236,IF($E43="c3",Tabelle!$F$237,IF($E43="c4",Tabelle!$F$238,IF($E43="c5",Tabelle!$F$239,IF($E43="c6",Tabelle!$F$240,))))))</f>
        <v>0</v>
      </c>
      <c r="S43" s="285">
        <f>IF($E43="d1",Tabelle!$F$241,IF($E43="d2",Tabelle!$F$242,IF($E43="d3",Tabelle!$F$243,IF($E43="d4",Tabelle!$F$244,IF($E43="d5",Tabelle!$F$245,IF($E43="d6",Tabelle!$F$246,IF($E43="d7",Tabelle!$F$247,)))))))</f>
        <v>0</v>
      </c>
      <c r="T43" s="285">
        <f t="shared" si="2"/>
        <v>98.384650000000022</v>
      </c>
      <c r="U43" s="285">
        <f t="shared" si="3"/>
        <v>1647.9428875000001</v>
      </c>
      <c r="V43" s="285">
        <f>Tabelle!$B$290/12*H43/36*F43</f>
        <v>64.56</v>
      </c>
      <c r="W43" s="285">
        <f>IF($D43="A",Tabelle!$B$276,IF(OR($D43="B1",$D43="B3"),Tabelle!$B$277,IF($D43="C",Tabelle!$B$279,IF(OR($D43="D1",$D43="d3"),Tabelle!$B$280,))))</f>
        <v>37.08</v>
      </c>
      <c r="X43" s="285">
        <f>IF($D43="A",Tabelle!$C$276,IF(OR($D43="B1",$D43="B3"),Tabelle!$C$277,IF($D43="C",Tabelle!$C$279,IF(OR($D43="D1",$D43="d3"),Tabelle!$C$280,))))</f>
        <v>351.6</v>
      </c>
      <c r="Y43" s="285">
        <f t="shared" si="4"/>
        <v>37.08</v>
      </c>
      <c r="Z43" s="285">
        <f t="shared" si="5"/>
        <v>351.6</v>
      </c>
      <c r="AA43" s="285">
        <f t="shared" si="6"/>
        <v>21876.497537500003</v>
      </c>
      <c r="AB43" s="285">
        <f t="shared" si="7"/>
        <v>319.7501125</v>
      </c>
      <c r="AC43" s="87"/>
    </row>
    <row r="44" spans="1:29" s="23" customFormat="1" ht="21" customHeight="1" x14ac:dyDescent="0.25">
      <c r="A44" s="21"/>
      <c r="B44" s="21" t="s">
        <v>472</v>
      </c>
      <c r="C44" s="21" t="s">
        <v>473</v>
      </c>
      <c r="D44" s="296" t="s">
        <v>26</v>
      </c>
      <c r="E44" s="296" t="s">
        <v>26</v>
      </c>
      <c r="F44" s="296">
        <v>36</v>
      </c>
      <c r="G44" s="297">
        <f>IF(D44="a",Tabelle!$E$213,IF(D44="b1",Tabelle!$E$219,IF(D44="b3",Tabelle!$E$221,IF(D44="c",Tabelle!$J$213,IF(D44="d1",Tabelle!$J$219,IF(D44="d3",Tabelle!$J$221,))))))</f>
        <v>19034.509999999998</v>
      </c>
      <c r="H44" s="296">
        <v>12</v>
      </c>
      <c r="I44" s="285">
        <f t="shared" si="0"/>
        <v>19034.509999999998</v>
      </c>
      <c r="J44" s="285">
        <f>IF($E44="a1",Tabelle!$E$213,IF($E44="a2",Tabelle!$E$214,IF($E44="a3",Tabelle!$E$215,IF($E44="a4",Tabelle!$E$216,IF($E44="a5",Tabelle!$E$217,IF($E44="a6",Tabelle!$E$218,))))))</f>
        <v>0</v>
      </c>
      <c r="K44" s="285">
        <f>IF($E44="b1",Tabelle!$E$219,IF($E44="b2",Tabelle!$E$220,IF($E44="b3",Tabelle!$E$221,IF($E44="b4",Tabelle!$E$222,IF($E44="b5",Tabelle!$E$223,IF($E44="b6",Tabelle!$E$224,IF($E44="b7",Tabelle!$C$225,IF($E44="b8",Tabelle!$C$226,))))))))</f>
        <v>19034.509999999998</v>
      </c>
      <c r="L44" s="285">
        <f>IF($E44="c1",Tabelle!$J$213,IF($E44="c2",Tabelle!$J$214,IF($E44="c3",Tabelle!$J$215,IF($E44="c4",Tabelle!$J$216,IF($E44="c5",Tabelle!$J$217,IF($E44="c6",Tabelle!$J$218,))))))</f>
        <v>0</v>
      </c>
      <c r="M44" s="285">
        <f>IF($E44="d1",Tabelle!$J$219,IF($E44="d2",Tabelle!$J$220,IF($E44="d3",Tabelle!$J$221,IF($E44="d4",Tabelle!$J$222,IF($E44="d5",Tabelle!$J$223,IF($E44="d6",Tabelle!$J$224,IF($E44="d7",Tabelle!$J$225,)))))))</f>
        <v>0</v>
      </c>
      <c r="N44" s="285">
        <f t="shared" si="1"/>
        <v>0</v>
      </c>
      <c r="O44" s="285"/>
      <c r="P44" s="285">
        <f>IF($E44="a1",Tabelle!$C$235,IF($E44="a2",Tabelle!$C$236,IF($E44="a3",Tabelle!$C$237,IF($E44="a4",Tabelle!$C$238,IF($E44="a5",Tabelle!$C$239,IF($E44="a6",Tabelle!$C$240,))))))</f>
        <v>0</v>
      </c>
      <c r="Q44" s="285">
        <f>IF($E44="b1",Tabelle!$C$241,IF($E44="b2",Tabelle!$C$242,IF($E44="b3",Tabelle!$C$243,IF($E44="b4",Tabelle!$C$244,IF($E44="b5",Tabelle!$C$245,IF($E44="b6",Tabelle!$C$246,IF($E44="b7",Tabelle!$C$247,IF($E44="b8",Tabelle!$C$248,))))))))</f>
        <v>95.172549999999987</v>
      </c>
      <c r="R44" s="285">
        <f>IF($E44="c1",Tabelle!$F$235,IF($E44="c2",Tabelle!$F$236,IF($E44="c3",Tabelle!$F$237,IF($E44="c4",Tabelle!$F$238,IF($E44="c5",Tabelle!$F$239,IF($E44="c6",Tabelle!$F$240,))))))</f>
        <v>0</v>
      </c>
      <c r="S44" s="285">
        <f>IF($E44="d1",Tabelle!$F$241,IF($E44="d2",Tabelle!$F$242,IF($E44="d3",Tabelle!$F$243,IF($E44="d4",Tabelle!$F$244,IF($E44="d5",Tabelle!$F$245,IF($E44="d6",Tabelle!$F$246,IF($E44="d7",Tabelle!$F$247,)))))))</f>
        <v>0</v>
      </c>
      <c r="T44" s="285">
        <f t="shared" si="2"/>
        <v>95.172549999999987</v>
      </c>
      <c r="U44" s="285">
        <f t="shared" si="3"/>
        <v>1594.1402124999997</v>
      </c>
      <c r="V44" s="285">
        <f>Tabelle!$B$290/12*H44/36*F44</f>
        <v>64.56</v>
      </c>
      <c r="W44" s="285">
        <f>IF($D44="A",Tabelle!$B$276,IF(OR($D44="B1",$D44="B3"),Tabelle!$B$277,IF($D44="C",Tabelle!$B$279,IF(OR($D44="D1",$D44="d3"),Tabelle!$B$280,))))</f>
        <v>44.76</v>
      </c>
      <c r="X44" s="285">
        <f>IF($D44="A",Tabelle!$C$276,IF(OR($D44="B1",$D44="B3"),Tabelle!$C$277,IF($D44="C",Tabelle!$C$279,IF(OR($D44="D1",$D44="d3"),Tabelle!$C$280,))))</f>
        <v>426.84</v>
      </c>
      <c r="Y44" s="285">
        <f t="shared" si="4"/>
        <v>44.759999999999991</v>
      </c>
      <c r="Z44" s="285">
        <f t="shared" si="5"/>
        <v>426.84000000000003</v>
      </c>
      <c r="AA44" s="285">
        <f t="shared" si="6"/>
        <v>21259.982762499996</v>
      </c>
      <c r="AB44" s="285">
        <f t="shared" si="7"/>
        <v>309.31078749999995</v>
      </c>
      <c r="AC44" s="87"/>
    </row>
    <row r="45" spans="1:29" s="23" customFormat="1" ht="21" customHeight="1" x14ac:dyDescent="0.25">
      <c r="A45" s="21"/>
      <c r="B45" s="21" t="s">
        <v>235</v>
      </c>
      <c r="C45" s="21" t="s">
        <v>469</v>
      </c>
      <c r="D45" s="296" t="s">
        <v>55</v>
      </c>
      <c r="E45" s="296" t="s">
        <v>35</v>
      </c>
      <c r="F45" s="296">
        <v>36</v>
      </c>
      <c r="G45" s="297">
        <f>IF(D45="a",Tabelle!$E$213,IF(D45="b1",Tabelle!$E$219,IF(D45="b3",Tabelle!$E$221,IF(D45="c",Tabelle!$J$213,IF(D45="d1",Tabelle!$J$219,IF(D45="d3",Tabelle!$J$221,))))))</f>
        <v>21392.87</v>
      </c>
      <c r="H45" s="296">
        <v>12</v>
      </c>
      <c r="I45" s="285">
        <f t="shared" si="0"/>
        <v>21392.87</v>
      </c>
      <c r="J45" s="285">
        <f>IF($E45="a1",Tabelle!$E$213,IF($E45="a2",Tabelle!$E$214,IF($E45="a3",Tabelle!$E$215,IF($E45="a4",Tabelle!$E$216,IF($E45="a5",Tabelle!$E$217,IF($E45="a6",Tabelle!$E$218,))))))</f>
        <v>0</v>
      </c>
      <c r="K45" s="285">
        <f>IF($E45="b1",Tabelle!$E$219,IF($E45="b2",Tabelle!$E$220,IF($E45="b3",Tabelle!$E$221,IF($E45="b4",Tabelle!$E$222,IF($E45="b5",Tabelle!$E$223,IF($E45="b6",Tabelle!$E$224,IF($E45="b7",Tabelle!$C$225,IF($E45="b8",Tabelle!$C$226,))))))))</f>
        <v>0</v>
      </c>
      <c r="L45" s="285">
        <f>IF($E45="c1",Tabelle!$J$213,IF($E45="c2",Tabelle!$J$214,IF($E45="c3",Tabelle!$J$215,IF($E45="c4",Tabelle!$J$216,IF($E45="c5",Tabelle!$J$217,IF($E45="c6",Tabelle!$J$218,))))))</f>
        <v>21886.58</v>
      </c>
      <c r="M45" s="285">
        <f>IF($E45="d1",Tabelle!$J$219,IF($E45="d2",Tabelle!$J$220,IF($E45="d3",Tabelle!$J$221,IF($E45="d4",Tabelle!$J$222,IF($E45="d5",Tabelle!$J$223,IF($E45="d6",Tabelle!$J$224,IF($E45="d7",Tabelle!$J$225,)))))))</f>
        <v>0</v>
      </c>
      <c r="N45" s="285">
        <f t="shared" si="1"/>
        <v>493.71000000000276</v>
      </c>
      <c r="O45" s="285"/>
      <c r="P45" s="285">
        <f>IF($E45="a1",Tabelle!$C$235,IF($E45="a2",Tabelle!$C$236,IF($E45="a3",Tabelle!$C$237,IF($E45="a4",Tabelle!$C$238,IF($E45="a5",Tabelle!$C$239,IF($E45="a6",Tabelle!$C$240,))))))</f>
        <v>0</v>
      </c>
      <c r="Q45" s="285">
        <f>IF($E45="b1",Tabelle!$C$241,IF($E45="b2",Tabelle!$C$242,IF($E45="b3",Tabelle!$C$243,IF($E45="b4",Tabelle!$C$244,IF($E45="b5",Tabelle!$C$245,IF($E45="b6",Tabelle!$C$246,IF($E45="b7",Tabelle!$C$247,IF($E45="b8",Tabelle!$C$248,))))))))</f>
        <v>0</v>
      </c>
      <c r="R45" s="285">
        <f>IF($E45="c1",Tabelle!$F$235,IF($E45="c2",Tabelle!$F$236,IF($E45="c3",Tabelle!$F$237,IF($E45="c4",Tabelle!$F$238,IF($E45="c5",Tabelle!$F$239,IF($E45="c6",Tabelle!$F$240,))))))</f>
        <v>109.43290000000002</v>
      </c>
      <c r="S45" s="285">
        <f>IF($E45="d1",Tabelle!$F$241,IF($E45="d2",Tabelle!$F$242,IF($E45="d3",Tabelle!$F$243,IF($E45="d4",Tabelle!$F$244,IF($E45="d5",Tabelle!$F$245,IF($E45="d6",Tabelle!$F$246,IF($E45="d7",Tabelle!$F$247,)))))))</f>
        <v>0</v>
      </c>
      <c r="T45" s="285">
        <f t="shared" si="2"/>
        <v>109.43290000000002</v>
      </c>
      <c r="U45" s="285">
        <f t="shared" si="3"/>
        <v>1833.0010750000001</v>
      </c>
      <c r="V45" s="285"/>
      <c r="W45" s="285">
        <f>IF($D45="A",Tabelle!$B$276,IF(OR($D45="B1",$D45="B3"),Tabelle!$B$277,IF($D45="C",Tabelle!$B$279,IF(OR($D45="D1",$D45="d3"),Tabelle!$B$280,))))</f>
        <v>52.08</v>
      </c>
      <c r="X45" s="285">
        <f>IF($D45="A",Tabelle!$C$276,IF(OR($D45="B1",$D45="B3"),Tabelle!$C$277,IF($D45="C",Tabelle!$C$279,IF(OR($D45="D1",$D45="d3"),Tabelle!$C$280,))))</f>
        <v>497.51999999999992</v>
      </c>
      <c r="Y45" s="285">
        <f t="shared" si="4"/>
        <v>52.08</v>
      </c>
      <c r="Z45" s="285">
        <f t="shared" si="5"/>
        <v>497.51999999999992</v>
      </c>
      <c r="AA45" s="285">
        <f t="shared" si="6"/>
        <v>24378.613975000004</v>
      </c>
      <c r="AB45" s="285">
        <f t="shared" si="7"/>
        <v>355.656925</v>
      </c>
      <c r="AC45" s="87"/>
    </row>
    <row r="46" spans="1:29" s="23" customFormat="1" ht="21" customHeight="1" x14ac:dyDescent="0.25">
      <c r="A46" s="21"/>
      <c r="B46" s="21" t="s">
        <v>474</v>
      </c>
      <c r="C46" s="21" t="s">
        <v>473</v>
      </c>
      <c r="D46" s="296" t="s">
        <v>26</v>
      </c>
      <c r="E46" s="296" t="s">
        <v>26</v>
      </c>
      <c r="F46" s="296">
        <v>36</v>
      </c>
      <c r="G46" s="297">
        <f>IF(D46="a",Tabelle!$E$213,IF(D46="b1",Tabelle!$E$219,IF(D46="b3",Tabelle!$E$221,IF(D46="c",Tabelle!$J$213,IF(D46="d1",Tabelle!$J$219,IF(D46="d3",Tabelle!$J$221,))))))</f>
        <v>19034.509999999998</v>
      </c>
      <c r="H46" s="296">
        <v>12</v>
      </c>
      <c r="I46" s="285">
        <f t="shared" si="0"/>
        <v>19034.509999999998</v>
      </c>
      <c r="J46" s="285">
        <f>IF($E46="a1",Tabelle!$E$213,IF($E46="a2",Tabelle!$E$214,IF($E46="a3",Tabelle!$E$215,IF($E46="a4",Tabelle!$E$216,IF($E46="a5",Tabelle!$E$217,IF($E46="a6",Tabelle!$E$218,))))))</f>
        <v>0</v>
      </c>
      <c r="K46" s="285">
        <f>IF($E46="b1",Tabelle!$E$219,IF($E46="b2",Tabelle!$E$220,IF($E46="b3",Tabelle!$E$221,IF($E46="b4",Tabelle!$E$222,IF($E46="b5",Tabelle!$E$223,IF($E46="b6",Tabelle!$E$224,IF($E46="b7",Tabelle!$C$225,IF($E46="b8",Tabelle!$C$226,))))))))</f>
        <v>19034.509999999998</v>
      </c>
      <c r="L46" s="285">
        <f>IF($E46="c1",Tabelle!$J$213,IF($E46="c2",Tabelle!$J$214,IF($E46="c3",Tabelle!$J$215,IF($E46="c4",Tabelle!$J$216,IF($E46="c5",Tabelle!$J$217,IF($E46="c6",Tabelle!$J$218,))))))</f>
        <v>0</v>
      </c>
      <c r="M46" s="285">
        <f>IF($E46="d1",Tabelle!$J$219,IF($E46="d2",Tabelle!$J$220,IF($E46="d3",Tabelle!$J$221,IF($E46="d4",Tabelle!$J$222,IF($E46="d5",Tabelle!$J$223,IF($E46="d6",Tabelle!$J$224,IF($E46="d7",Tabelle!$J$225,)))))))</f>
        <v>0</v>
      </c>
      <c r="N46" s="285">
        <f t="shared" si="1"/>
        <v>0</v>
      </c>
      <c r="O46" s="285"/>
      <c r="P46" s="285">
        <f>IF($E46="a1",Tabelle!$C$235,IF($E46="a2",Tabelle!$C$236,IF($E46="a3",Tabelle!$C$237,IF($E46="a4",Tabelle!$C$238,IF($E46="a5",Tabelle!$C$239,IF($E46="a6",Tabelle!$C$240,))))))</f>
        <v>0</v>
      </c>
      <c r="Q46" s="285">
        <f>IF($E46="b1",Tabelle!$C$241,IF($E46="b2",Tabelle!$C$242,IF($E46="b3",Tabelle!$C$243,IF($E46="b4",Tabelle!$C$244,IF($E46="b5",Tabelle!$C$245,IF($E46="b6",Tabelle!$C$246,IF($E46="b7",Tabelle!$C$247,IF($E46="b8",Tabelle!$C$248,))))))))</f>
        <v>95.172549999999987</v>
      </c>
      <c r="R46" s="285">
        <f>IF($E46="c1",Tabelle!$F$235,IF($E46="c2",Tabelle!$F$236,IF($E46="c3",Tabelle!$F$237,IF($E46="c4",Tabelle!$F$238,IF($E46="c5",Tabelle!$F$239,IF($E46="c6",Tabelle!$F$240,))))))</f>
        <v>0</v>
      </c>
      <c r="S46" s="285">
        <f>IF($E46="d1",Tabelle!$F$241,IF($E46="d2",Tabelle!$F$242,IF($E46="d3",Tabelle!$F$243,IF($E46="d4",Tabelle!$F$244,IF($E46="d5",Tabelle!$F$245,IF($E46="d6",Tabelle!$F$246,IF($E46="d7",Tabelle!$F$247,)))))))</f>
        <v>0</v>
      </c>
      <c r="T46" s="285">
        <f t="shared" si="2"/>
        <v>95.172549999999987</v>
      </c>
      <c r="U46" s="285">
        <f t="shared" si="3"/>
        <v>1594.1402124999997</v>
      </c>
      <c r="V46" s="285">
        <f>Tabelle!$B$290/12*H46/36*F46</f>
        <v>64.56</v>
      </c>
      <c r="W46" s="285">
        <f>IF($D46="A",Tabelle!$B$276,IF(OR($D46="B1",$D46="B3"),Tabelle!$B$277,IF($D46="C",Tabelle!$B$279,IF(OR($D46="D1",$D46="d3"),Tabelle!$B$280,))))</f>
        <v>44.76</v>
      </c>
      <c r="X46" s="285">
        <f>IF($D46="A",Tabelle!$C$276,IF(OR($D46="B1",$D46="B3"),Tabelle!$C$277,IF($D46="C",Tabelle!$C$279,IF(OR($D46="D1",$D46="d3"),Tabelle!$C$280,))))</f>
        <v>426.84</v>
      </c>
      <c r="Y46" s="285">
        <f t="shared" si="4"/>
        <v>44.759999999999991</v>
      </c>
      <c r="Z46" s="285">
        <f t="shared" si="5"/>
        <v>426.84000000000003</v>
      </c>
      <c r="AA46" s="285">
        <f t="shared" si="6"/>
        <v>21259.982762499996</v>
      </c>
      <c r="AB46" s="285">
        <f t="shared" si="7"/>
        <v>309.31078749999995</v>
      </c>
      <c r="AC46" s="87"/>
    </row>
    <row r="47" spans="1:29" s="23" customFormat="1" ht="21" customHeight="1" x14ac:dyDescent="0.25">
      <c r="A47" s="21"/>
      <c r="B47" s="21" t="s">
        <v>477</v>
      </c>
      <c r="C47" s="21" t="s">
        <v>450</v>
      </c>
      <c r="D47" s="296" t="s">
        <v>55</v>
      </c>
      <c r="E47" s="296" t="s">
        <v>34</v>
      </c>
      <c r="F47" s="296">
        <v>36</v>
      </c>
      <c r="G47" s="297">
        <f>IF(D47="a",Tabelle!$E$213,IF(D47="b1",Tabelle!$E$219,IF(D47="b3",Tabelle!$E$221,IF(D47="c",Tabelle!$J$213,IF(D47="d1",Tabelle!$J$219,IF(D47="d3",Tabelle!$J$221,))))))</f>
        <v>21392.87</v>
      </c>
      <c r="H47" s="296">
        <v>12</v>
      </c>
      <c r="I47" s="285">
        <f t="shared" si="0"/>
        <v>21392.87</v>
      </c>
      <c r="J47" s="285">
        <f>IF($E47="a1",Tabelle!$E$213,IF($E47="a2",Tabelle!$E$214,IF($E47="a3",Tabelle!$E$215,IF($E47="a4",Tabelle!$E$216,IF($E47="a5",Tabelle!$E$217,IF($E47="a6",Tabelle!$E$218,))))))</f>
        <v>0</v>
      </c>
      <c r="K47" s="285">
        <f>IF($E47="b1",Tabelle!$E$219,IF($E47="b2",Tabelle!$E$220,IF($E47="b3",Tabelle!$E$221,IF($E47="b4",Tabelle!$E$222,IF($E47="b5",Tabelle!$E$223,IF($E47="b6",Tabelle!$E$224,IF($E47="b7",Tabelle!$C$225,IF($E47="b8",Tabelle!$C$226,))))))))</f>
        <v>0</v>
      </c>
      <c r="L47" s="285">
        <f>IF($E47="c1",Tabelle!$J$213,IF($E47="c2",Tabelle!$J$214,IF($E47="c3",Tabelle!$J$215,IF($E47="c4",Tabelle!$J$216,IF($E47="c5",Tabelle!$J$217,IF($E47="c6",Tabelle!$J$218,))))))</f>
        <v>21392.87</v>
      </c>
      <c r="M47" s="285">
        <f>IF($E47="d1",Tabelle!$J$219,IF($E47="d2",Tabelle!$J$220,IF($E47="d3",Tabelle!$J$221,IF($E47="d4",Tabelle!$J$222,IF($E47="d5",Tabelle!$J$223,IF($E47="d6",Tabelle!$J$224,IF($E47="d7",Tabelle!$J$225,)))))))</f>
        <v>0</v>
      </c>
      <c r="N47" s="285">
        <f t="shared" si="1"/>
        <v>0</v>
      </c>
      <c r="O47" s="285">
        <f>32.22*H47</f>
        <v>386.64</v>
      </c>
      <c r="P47" s="285">
        <f>IF($E47="a1",Tabelle!$C$235,IF($E47="a2",Tabelle!$C$236,IF($E47="a3",Tabelle!$C$237,IF($E47="a4",Tabelle!$C$238,IF($E47="a5",Tabelle!$C$239,IF($E47="a6",Tabelle!$C$240,))))))</f>
        <v>0</v>
      </c>
      <c r="Q47" s="285">
        <f>IF($E47="b1",Tabelle!$C$241,IF($E47="b2",Tabelle!$C$242,IF($E47="b3",Tabelle!$C$243,IF($E47="b4",Tabelle!$C$244,IF($E47="b5",Tabelle!$C$245,IF($E47="b6",Tabelle!$C$246,IF($E47="b7",Tabelle!$C$247,IF($E47="b8",Tabelle!$C$248,))))))))</f>
        <v>0</v>
      </c>
      <c r="R47" s="285">
        <f>IF($E47="c1",Tabelle!$F$235,IF($E47="c2",Tabelle!$F$236,IF($E47="c3",Tabelle!$F$237,IF($E47="c4",Tabelle!$F$238,IF($E47="c5",Tabelle!$F$239,IF($E47="c6",Tabelle!$F$240,))))))</f>
        <v>106.96435</v>
      </c>
      <c r="S47" s="285">
        <f>IF($E47="d1",Tabelle!$F$241,IF($E47="d2",Tabelle!$F$242,IF($E47="d3",Tabelle!$F$243,IF($E47="d4",Tabelle!$F$244,IF($E47="d5",Tabelle!$F$245,IF($E47="d6",Tabelle!$F$246,IF($E47="d7",Tabelle!$F$247,)))))))</f>
        <v>0</v>
      </c>
      <c r="T47" s="285">
        <f t="shared" si="2"/>
        <v>106.96435</v>
      </c>
      <c r="U47" s="285">
        <f t="shared" si="3"/>
        <v>1823.8728624999997</v>
      </c>
      <c r="V47" s="285"/>
      <c r="W47" s="285">
        <f>IF($D47="A",Tabelle!$B$276,IF(OR($D47="B1",$D47="B3"),Tabelle!$B$277,IF($D47="C",Tabelle!$B$279,IF(OR($D47="D1",$D47="d3"),Tabelle!$B$280,))))</f>
        <v>52.08</v>
      </c>
      <c r="X47" s="285">
        <f>IF($D47="A",Tabelle!$C$276,IF(OR($D47="B1",$D47="B3"),Tabelle!$C$277,IF($D47="C",Tabelle!$C$279,IF(OR($D47="D1",$D47="d3"),Tabelle!$C$280,))))</f>
        <v>497.51999999999992</v>
      </c>
      <c r="Y47" s="285">
        <f t="shared" si="4"/>
        <v>52.08</v>
      </c>
      <c r="Z47" s="285">
        <f t="shared" si="5"/>
        <v>497.51999999999992</v>
      </c>
      <c r="AA47" s="285">
        <f t="shared" si="6"/>
        <v>24259.947212499999</v>
      </c>
      <c r="AB47" s="285">
        <f t="shared" si="7"/>
        <v>347.63413749999995</v>
      </c>
      <c r="AC47" s="87"/>
    </row>
    <row r="48" spans="1:29" s="23" customFormat="1" ht="21" customHeight="1" x14ac:dyDescent="0.25">
      <c r="A48" s="21"/>
      <c r="B48" s="61" t="s">
        <v>224</v>
      </c>
      <c r="C48" s="61" t="s">
        <v>450</v>
      </c>
      <c r="D48" s="298" t="s">
        <v>55</v>
      </c>
      <c r="E48" s="298" t="s">
        <v>34</v>
      </c>
      <c r="F48" s="298">
        <v>36</v>
      </c>
      <c r="G48" s="299">
        <f>IF(D48="a",Tabelle!$E$213,IF(D48="b1",Tabelle!$E$219,IF(D48="b3",Tabelle!$E$221,IF(D48="c",Tabelle!$J$213,IF(D48="d1",Tabelle!$J$219,IF(D48="d3",Tabelle!$J$221,))))))</f>
        <v>21392.87</v>
      </c>
      <c r="H48" s="298">
        <v>12</v>
      </c>
      <c r="I48" s="286">
        <f t="shared" si="0"/>
        <v>21392.87</v>
      </c>
      <c r="J48" s="286">
        <f>IF($E48="a1",Tabelle!$E$213,IF($E48="a2",Tabelle!$E$214,IF($E48="a3",Tabelle!$E$215,IF($E48="a4",Tabelle!$E$216,IF($E48="a5",Tabelle!$E$217,IF($E48="a6",Tabelle!$E$218,))))))</f>
        <v>0</v>
      </c>
      <c r="K48" s="285">
        <f>IF($E48="b1",Tabelle!$E$219,IF($E48="b2",Tabelle!$E$220,IF($E48="b3",Tabelle!$E$221,IF($E48="b4",Tabelle!$E$222,IF($E48="b5",Tabelle!$E$223,IF($E48="b6",Tabelle!$E$224,IF($E48="b7",Tabelle!$C$225,IF($E48="b8",Tabelle!$C$226,))))))))</f>
        <v>0</v>
      </c>
      <c r="L48" s="286">
        <f>IF($E48="c1",Tabelle!$J$213,IF($E48="c2",Tabelle!$J$214,IF($E48="c3",Tabelle!$J$215,IF($E48="c4",Tabelle!$J$216,IF($E48="c5",Tabelle!$J$217,IF($E48="c6",Tabelle!$J$218,))))))</f>
        <v>21392.87</v>
      </c>
      <c r="M48" s="286">
        <f>IF($E48="d1",Tabelle!$J$219,IF($E48="d2",Tabelle!$J$220,IF($E48="d3",Tabelle!$J$221,IF($E48="d4",Tabelle!$J$222,IF($E48="d5",Tabelle!$J$223,IF($E48="d6",Tabelle!$J$224,IF($E48="d7",Tabelle!$J$225,)))))))</f>
        <v>0</v>
      </c>
      <c r="N48" s="286">
        <f t="shared" si="1"/>
        <v>0</v>
      </c>
      <c r="O48" s="286"/>
      <c r="P48" s="286">
        <f>IF($E48="a1",Tabelle!$C$235,IF($E48="a2",Tabelle!$C$236,IF($E48="a3",Tabelle!$C$237,IF($E48="a4",Tabelle!$C$238,IF($E48="a5",Tabelle!$C$239,IF($E48="a6",Tabelle!$C$240,))))))</f>
        <v>0</v>
      </c>
      <c r="Q48" s="286">
        <f>IF($E48="b1",Tabelle!$C$241,IF($E48="b2",Tabelle!$C$242,IF($E48="b3",Tabelle!$C$243,IF($E48="b4",Tabelle!$C$244,IF($E48="b5",Tabelle!$C$245,IF($E48="b6",Tabelle!$C$246,IF($E48="b7",Tabelle!$C$247,IF($E48="b8",Tabelle!$C$248,))))))))</f>
        <v>0</v>
      </c>
      <c r="R48" s="286">
        <f>IF($E48="c1",Tabelle!$F$235,IF($E48="c2",Tabelle!$F$236,IF($E48="c3",Tabelle!$F$237,IF($E48="c4",Tabelle!$F$238,IF($E48="c5",Tabelle!$F$239,IF($E48="c6",Tabelle!$F$240,))))))</f>
        <v>106.96435</v>
      </c>
      <c r="S48" s="286">
        <f>IF($E48="d1",Tabelle!$F$241,IF($E48="d2",Tabelle!$F$242,IF($E48="d3",Tabelle!$F$243,IF($E48="d4",Tabelle!$F$244,IF($E48="d5",Tabelle!$F$245,IF($E48="d6",Tabelle!$F$246,IF($E48="d7",Tabelle!$F$247,)))))))</f>
        <v>0</v>
      </c>
      <c r="T48" s="286">
        <f t="shared" si="2"/>
        <v>106.96435</v>
      </c>
      <c r="U48" s="286">
        <f t="shared" si="3"/>
        <v>1791.6528624999999</v>
      </c>
      <c r="V48" s="286"/>
      <c r="W48" s="286">
        <f>IF($D48="A",Tabelle!$B$276,IF(OR($D48="B1",$D48="B3"),Tabelle!$B$277,IF($D48="C",Tabelle!$B$279,IF(OR($D48="D1",$D48="d3"),Tabelle!$B$280,))))</f>
        <v>52.08</v>
      </c>
      <c r="X48" s="286">
        <f>IF($D48="A",Tabelle!$C$276,IF(OR($D48="B1",$D48="B3"),Tabelle!$C$277,IF($D48="C",Tabelle!$C$279,IF(OR($D48="D1",$D48="d3"),Tabelle!$C$280,))))</f>
        <v>497.51999999999992</v>
      </c>
      <c r="Y48" s="286">
        <f t="shared" si="4"/>
        <v>52.08</v>
      </c>
      <c r="Z48" s="286">
        <f t="shared" si="5"/>
        <v>497.51999999999992</v>
      </c>
      <c r="AA48" s="286">
        <f t="shared" si="6"/>
        <v>23841.087212499999</v>
      </c>
      <c r="AB48" s="286">
        <f t="shared" si="7"/>
        <v>347.63413749999995</v>
      </c>
      <c r="AC48" s="87"/>
    </row>
    <row r="49" spans="1:29" s="23" customFormat="1" ht="21" customHeight="1" x14ac:dyDescent="0.25">
      <c r="A49" s="21"/>
      <c r="B49" s="21">
        <f>COUNTA(B3:B48)</f>
        <v>46</v>
      </c>
      <c r="C49" s="21"/>
      <c r="D49" s="296"/>
      <c r="E49" s="296"/>
      <c r="F49" s="296"/>
      <c r="G49" s="297"/>
      <c r="H49" s="296"/>
      <c r="I49" s="285">
        <f t="shared" ref="I49:O49" si="9">SUM(I3:I48)</f>
        <v>923158.08</v>
      </c>
      <c r="J49" s="285">
        <f t="shared" si="9"/>
        <v>240146.53999999998</v>
      </c>
      <c r="K49" s="285">
        <f t="shared" si="9"/>
        <v>242064.86000000004</v>
      </c>
      <c r="L49" s="285">
        <f t="shared" si="9"/>
        <v>334897.58999999997</v>
      </c>
      <c r="M49" s="285">
        <f t="shared" si="9"/>
        <v>154079.05999999997</v>
      </c>
      <c r="N49" s="285">
        <f t="shared" si="9"/>
        <v>48029.97000000003</v>
      </c>
      <c r="O49" s="285">
        <f t="shared" si="9"/>
        <v>1080</v>
      </c>
      <c r="P49" s="285"/>
      <c r="Q49" s="285"/>
      <c r="R49" s="285"/>
      <c r="S49" s="285"/>
      <c r="T49" s="285">
        <f t="shared" ref="T49:AB49" si="10">SUM(T3:T48)</f>
        <v>4857.1168499999994</v>
      </c>
      <c r="U49" s="285">
        <f t="shared" si="10"/>
        <v>81427.097237500027</v>
      </c>
      <c r="V49" s="285">
        <f t="shared" si="10"/>
        <v>7119.7600000000029</v>
      </c>
      <c r="W49" s="285">
        <f t="shared" si="10"/>
        <v>2156.7599999999998</v>
      </c>
      <c r="X49" s="285">
        <f t="shared" si="10"/>
        <v>20536.080000000002</v>
      </c>
      <c r="Y49" s="285">
        <f t="shared" si="10"/>
        <v>2156.7599999999993</v>
      </c>
      <c r="Z49" s="285">
        <f t="shared" si="10"/>
        <v>20536.080000000002</v>
      </c>
      <c r="AA49" s="285">
        <f t="shared" si="10"/>
        <v>1088364.8640874999</v>
      </c>
      <c r="AB49" s="285">
        <f t="shared" si="10"/>
        <v>15781.805812499999</v>
      </c>
      <c r="AC49" s="87"/>
    </row>
    <row r="50" spans="1:29" ht="21" customHeight="1" x14ac:dyDescent="0.2">
      <c r="A50" s="82"/>
      <c r="B50" s="83"/>
      <c r="C50" s="83"/>
      <c r="D50" s="84"/>
      <c r="E50" s="84"/>
      <c r="F50" s="84"/>
      <c r="G50" s="84"/>
      <c r="H50" s="84"/>
      <c r="I50" s="281"/>
      <c r="J50" s="281"/>
      <c r="K50" s="281"/>
      <c r="L50" s="281"/>
      <c r="M50" s="281"/>
      <c r="N50" s="281"/>
      <c r="O50" s="281"/>
      <c r="P50" s="281"/>
      <c r="Q50" s="281"/>
      <c r="R50" s="281"/>
      <c r="S50" s="281"/>
      <c r="T50" s="281"/>
      <c r="U50" s="281"/>
      <c r="V50" s="85"/>
      <c r="W50" s="281"/>
      <c r="X50" s="281"/>
      <c r="Y50" s="281"/>
      <c r="Z50" s="281"/>
      <c r="AA50" s="281"/>
      <c r="AB50" s="88"/>
    </row>
    <row r="51" spans="1:29" s="23" customFormat="1" ht="21" customHeight="1" x14ac:dyDescent="0.25">
      <c r="A51" s="2"/>
      <c r="B51" s="61"/>
      <c r="C51" s="61"/>
      <c r="D51" s="298"/>
      <c r="E51" s="298"/>
      <c r="F51" s="298"/>
      <c r="G51" s="299"/>
      <c r="H51" s="298"/>
      <c r="I51" s="283"/>
      <c r="J51" s="283"/>
      <c r="K51" s="283"/>
      <c r="L51" s="283"/>
      <c r="M51" s="283"/>
      <c r="N51" s="284"/>
      <c r="O51" s="284"/>
      <c r="P51" s="284"/>
      <c r="Q51" s="284"/>
      <c r="R51" s="284"/>
      <c r="S51" s="284"/>
      <c r="T51" s="284"/>
      <c r="U51" s="284"/>
      <c r="V51" s="284"/>
      <c r="W51" s="283"/>
      <c r="X51" s="283"/>
      <c r="Y51" s="283"/>
      <c r="Z51" s="283"/>
      <c r="AA51" s="283"/>
      <c r="AB51" s="283"/>
    </row>
    <row r="52" spans="1:29" ht="21" customHeight="1" x14ac:dyDescent="0.2">
      <c r="A52" s="21"/>
      <c r="B52" s="21"/>
      <c r="C52" s="21"/>
      <c r="D52" s="296"/>
      <c r="E52" s="296"/>
      <c r="F52" s="296"/>
      <c r="G52" s="296"/>
      <c r="H52" s="296"/>
      <c r="I52" s="21"/>
      <c r="J52" s="21"/>
      <c r="K52" s="21"/>
      <c r="L52" s="21"/>
      <c r="M52" s="21"/>
      <c r="N52" s="282"/>
      <c r="O52" s="282"/>
      <c r="P52" s="282"/>
      <c r="Q52" s="282"/>
      <c r="R52" s="282"/>
      <c r="S52" s="282"/>
      <c r="T52" s="282"/>
      <c r="U52" s="282"/>
      <c r="V52" s="86"/>
      <c r="W52" s="282"/>
      <c r="X52" s="282"/>
      <c r="Y52" s="282"/>
      <c r="Z52" s="282"/>
      <c r="AA52" s="282"/>
    </row>
    <row r="53" spans="1:29" ht="34.5" customHeight="1" x14ac:dyDescent="0.2">
      <c r="A53" s="21"/>
      <c r="B53" s="90" t="s">
        <v>183</v>
      </c>
      <c r="C53" s="407" t="s">
        <v>184</v>
      </c>
      <c r="D53" s="408"/>
      <c r="E53" s="300"/>
      <c r="F53" s="300"/>
      <c r="G53" s="300"/>
      <c r="H53" s="300"/>
      <c r="I53" s="91"/>
      <c r="J53" s="21"/>
      <c r="K53" s="89"/>
      <c r="L53" s="21"/>
      <c r="M53" s="21"/>
      <c r="N53" s="21"/>
      <c r="O53" s="21"/>
      <c r="P53" s="21"/>
      <c r="V53"/>
    </row>
    <row r="54" spans="1:29" ht="21" customHeight="1" x14ac:dyDescent="0.2">
      <c r="A54" s="21"/>
      <c r="B54" s="92" t="s">
        <v>185</v>
      </c>
      <c r="C54" s="405">
        <f>SUM(I3:I51)/2</f>
        <v>923158.08</v>
      </c>
      <c r="D54" s="406"/>
      <c r="E54" s="301"/>
      <c r="F54" s="301"/>
      <c r="G54" s="301"/>
      <c r="H54" s="301"/>
      <c r="I54" s="93"/>
      <c r="J54" s="94"/>
      <c r="K54" s="89"/>
      <c r="L54" s="21"/>
      <c r="M54" s="21"/>
      <c r="N54" s="21"/>
      <c r="O54" s="21"/>
      <c r="P54" s="21"/>
      <c r="V54"/>
    </row>
    <row r="55" spans="1:29" ht="21" customHeight="1" x14ac:dyDescent="0.2">
      <c r="A55" s="21"/>
      <c r="B55" s="95" t="s">
        <v>186</v>
      </c>
      <c r="C55" s="409">
        <f>SUM(N3:N51)/2</f>
        <v>48029.97000000003</v>
      </c>
      <c r="D55" s="410"/>
      <c r="E55" s="301"/>
      <c r="F55" s="301"/>
      <c r="G55" s="301"/>
      <c r="H55" s="301"/>
      <c r="I55" s="93"/>
      <c r="J55" s="94"/>
      <c r="K55" s="89"/>
      <c r="L55" s="21"/>
      <c r="M55" s="21"/>
      <c r="N55" s="282"/>
      <c r="O55" s="21"/>
      <c r="P55" s="21"/>
      <c r="V55"/>
    </row>
    <row r="56" spans="1:29" ht="21" customHeight="1" x14ac:dyDescent="0.2">
      <c r="A56" s="21"/>
      <c r="B56" s="95" t="s">
        <v>187</v>
      </c>
      <c r="C56" s="409">
        <f>SUM(O3:O51)/2</f>
        <v>1080</v>
      </c>
      <c r="D56" s="410"/>
      <c r="E56" s="301"/>
      <c r="F56" s="301"/>
      <c r="G56" s="301"/>
      <c r="H56" s="301"/>
      <c r="I56" s="93"/>
      <c r="J56" s="94"/>
      <c r="K56" s="89"/>
      <c r="L56" s="21"/>
      <c r="M56" s="21"/>
      <c r="N56" s="282"/>
      <c r="O56" s="21"/>
      <c r="P56" s="21"/>
      <c r="V56"/>
    </row>
    <row r="57" spans="1:29" ht="21" customHeight="1" x14ac:dyDescent="0.2">
      <c r="A57" s="21"/>
      <c r="B57" s="95" t="s">
        <v>188</v>
      </c>
      <c r="C57" s="409">
        <f>SUM(T3:T51)/2</f>
        <v>4857.1168499999994</v>
      </c>
      <c r="D57" s="410"/>
      <c r="E57" s="301"/>
      <c r="F57" s="301"/>
      <c r="G57" s="301"/>
      <c r="H57" s="301"/>
      <c r="I57" s="93"/>
      <c r="J57" s="94"/>
      <c r="K57" s="89"/>
      <c r="L57" s="21"/>
      <c r="M57" s="21"/>
      <c r="N57" s="282"/>
      <c r="O57" s="21"/>
      <c r="P57" s="21"/>
      <c r="V57"/>
    </row>
    <row r="58" spans="1:29" ht="21" customHeight="1" x14ac:dyDescent="0.2">
      <c r="A58" s="21"/>
      <c r="B58" s="95" t="s">
        <v>189</v>
      </c>
      <c r="C58" s="409">
        <f>SUM(U3:U51)/2</f>
        <v>81427.097237500027</v>
      </c>
      <c r="D58" s="410"/>
      <c r="E58" s="301"/>
      <c r="F58" s="301"/>
      <c r="G58" s="301"/>
      <c r="H58" s="301"/>
      <c r="I58" s="93"/>
      <c r="J58" s="94"/>
      <c r="K58" s="89"/>
      <c r="L58" s="21"/>
      <c r="M58" s="21"/>
      <c r="N58" s="282"/>
      <c r="O58" s="21"/>
      <c r="P58" s="21"/>
      <c r="V58"/>
    </row>
    <row r="59" spans="1:29" ht="21" customHeight="1" x14ac:dyDescent="0.2">
      <c r="A59" s="21"/>
      <c r="B59" s="95" t="s">
        <v>190</v>
      </c>
      <c r="C59" s="409">
        <f>SUM(V3:V51)/2</f>
        <v>7119.7600000000029</v>
      </c>
      <c r="D59" s="410"/>
      <c r="E59" s="301"/>
      <c r="F59" s="301"/>
      <c r="G59" s="301"/>
      <c r="H59" s="301"/>
      <c r="I59" s="93"/>
      <c r="J59" s="94"/>
      <c r="K59" s="89"/>
      <c r="L59" s="21"/>
      <c r="M59" s="21"/>
      <c r="N59" s="282"/>
      <c r="O59" s="21"/>
      <c r="P59" s="21"/>
      <c r="V59"/>
    </row>
    <row r="60" spans="1:29" ht="21" customHeight="1" x14ac:dyDescent="0.2">
      <c r="A60" s="21"/>
      <c r="B60" s="95" t="s">
        <v>191</v>
      </c>
      <c r="C60" s="409">
        <f>SUM(Y3:Y51)/2</f>
        <v>2156.7599999999993</v>
      </c>
      <c r="D60" s="410"/>
      <c r="E60" s="301"/>
      <c r="F60" s="301"/>
      <c r="G60" s="301"/>
      <c r="H60" s="301"/>
      <c r="I60" s="93"/>
      <c r="J60" s="94"/>
      <c r="K60" s="89"/>
      <c r="L60" s="21"/>
      <c r="M60" s="21"/>
      <c r="N60" s="282"/>
      <c r="O60" s="21"/>
      <c r="P60" s="21"/>
      <c r="V60"/>
    </row>
    <row r="61" spans="1:29" ht="21" customHeight="1" x14ac:dyDescent="0.2">
      <c r="A61" s="21"/>
      <c r="B61" s="96" t="s">
        <v>192</v>
      </c>
      <c r="C61" s="411">
        <f>SUM(Z3:Z51)/2</f>
        <v>20536.080000000002</v>
      </c>
      <c r="D61" s="412"/>
      <c r="E61" s="301"/>
      <c r="F61" s="301"/>
      <c r="G61" s="301"/>
      <c r="H61" s="301"/>
      <c r="I61" s="93"/>
      <c r="J61" s="94"/>
      <c r="K61" s="89"/>
      <c r="L61" s="21"/>
      <c r="M61" s="21"/>
      <c r="N61" s="282"/>
      <c r="O61" s="21"/>
      <c r="P61" s="21"/>
      <c r="V61"/>
    </row>
    <row r="62" spans="1:29" ht="21" customHeight="1" x14ac:dyDescent="0.2">
      <c r="A62" s="21"/>
      <c r="B62" s="97" t="s">
        <v>193</v>
      </c>
      <c r="C62" s="411">
        <f>SUM(AB3:AB51)/2</f>
        <v>15781.805812499999</v>
      </c>
      <c r="D62" s="412"/>
      <c r="E62" s="301"/>
      <c r="F62" s="301"/>
      <c r="G62" s="301"/>
      <c r="H62" s="301"/>
      <c r="I62" s="93"/>
      <c r="J62" s="94"/>
      <c r="K62" s="89"/>
      <c r="L62" s="21"/>
      <c r="M62" s="21"/>
      <c r="N62" s="282"/>
      <c r="O62" s="21"/>
      <c r="P62" s="21"/>
      <c r="V62"/>
    </row>
    <row r="63" spans="1:29" ht="21" customHeight="1" x14ac:dyDescent="0.2">
      <c r="A63" s="21"/>
      <c r="B63" s="98" t="s">
        <v>194</v>
      </c>
      <c r="C63" s="413">
        <f>SUM(C54:D62)</f>
        <v>1104146.6699000001</v>
      </c>
      <c r="D63" s="414"/>
      <c r="E63" s="301"/>
      <c r="F63" s="301"/>
      <c r="G63" s="301"/>
      <c r="H63" s="301"/>
      <c r="I63" s="93"/>
      <c r="J63" s="94"/>
      <c r="K63" s="89"/>
      <c r="L63" s="21"/>
      <c r="M63" s="21"/>
      <c r="N63" s="282"/>
      <c r="O63" s="21"/>
      <c r="P63" s="21"/>
      <c r="V63"/>
    </row>
    <row r="64" spans="1:29" ht="21" customHeight="1" x14ac:dyDescent="0.2">
      <c r="A64" s="21"/>
      <c r="B64" s="21"/>
      <c r="C64" s="21"/>
      <c r="D64" s="296"/>
      <c r="E64" s="296"/>
      <c r="F64" s="296"/>
      <c r="G64" s="296"/>
      <c r="H64" s="296"/>
      <c r="I64" s="21"/>
      <c r="J64" s="21"/>
      <c r="K64" s="21"/>
      <c r="L64" s="21"/>
      <c r="M64" s="21"/>
      <c r="N64" s="282"/>
      <c r="O64" s="282"/>
      <c r="P64" s="282"/>
      <c r="Q64" s="282"/>
      <c r="R64" s="282"/>
      <c r="S64" s="282"/>
      <c r="T64" s="282"/>
      <c r="U64" s="282"/>
      <c r="V64" s="86"/>
      <c r="W64" s="282"/>
      <c r="X64" s="282"/>
      <c r="Y64" s="282"/>
      <c r="Z64" s="282"/>
      <c r="AA64" s="282"/>
    </row>
  </sheetData>
  <sortState xmlns:xlrd2="http://schemas.microsoft.com/office/spreadsheetml/2017/richdata2" ref="B3:AB48">
    <sortCondition ref="B3"/>
  </sortState>
  <mergeCells count="12">
    <mergeCell ref="C62:D62"/>
    <mergeCell ref="C63:D63"/>
    <mergeCell ref="C58:D58"/>
    <mergeCell ref="C56:D56"/>
    <mergeCell ref="C59:D59"/>
    <mergeCell ref="C60:D60"/>
    <mergeCell ref="C61:D61"/>
    <mergeCell ref="A2:AA2"/>
    <mergeCell ref="C54:D54"/>
    <mergeCell ref="C53:D53"/>
    <mergeCell ref="C55:D55"/>
    <mergeCell ref="C57:D57"/>
  </mergeCells>
  <conditionalFormatting sqref="I54:I63">
    <cfRule type="cellIs" dxfId="42" priority="563" operator="equal">
      <formula>0</formula>
    </cfRule>
  </conditionalFormatting>
  <conditionalFormatting sqref="I4:S48">
    <cfRule type="cellIs" priority="169" operator="equal">
      <formula>0</formula>
    </cfRule>
  </conditionalFormatting>
  <conditionalFormatting sqref="I1:AA3 W21:AB21 E53:P63 I64:AA1048576">
    <cfRule type="cellIs" priority="559" operator="equal">
      <formula>0</formula>
    </cfRule>
  </conditionalFormatting>
  <conditionalFormatting sqref="I49:AA52">
    <cfRule type="cellIs" priority="331" operator="equal">
      <formula>0</formula>
    </cfRule>
  </conditionalFormatting>
  <conditionalFormatting sqref="N4:S48 T27:U48">
    <cfRule type="cellIs" dxfId="41" priority="167" operator="equal">
      <formula>0</formula>
    </cfRule>
    <cfRule type="cellIs" dxfId="40" priority="168" operator="equal">
      <formula>"o"</formula>
    </cfRule>
  </conditionalFormatting>
  <conditionalFormatting sqref="N1:U3">
    <cfRule type="cellIs" dxfId="39" priority="524" operator="equal">
      <formula>0</formula>
    </cfRule>
    <cfRule type="cellIs" dxfId="38" priority="525" operator="equal">
      <formula>"o"</formula>
    </cfRule>
  </conditionalFormatting>
  <conditionalFormatting sqref="N49:U51">
    <cfRule type="cellIs" dxfId="37" priority="329" operator="equal">
      <formula>0</formula>
    </cfRule>
    <cfRule type="cellIs" dxfId="36" priority="330" operator="equal">
      <formula>"o"</formula>
    </cfRule>
  </conditionalFormatting>
  <conditionalFormatting sqref="T4:U21">
    <cfRule type="cellIs" dxfId="35" priority="311" operator="equal">
      <formula>0</formula>
    </cfRule>
    <cfRule type="cellIs" dxfId="34" priority="312" operator="equal">
      <formula>"o"</formula>
    </cfRule>
  </conditionalFormatting>
  <conditionalFormatting sqref="T20:V21">
    <cfRule type="cellIs" priority="1" operator="equal">
      <formula>0</formula>
    </cfRule>
  </conditionalFormatting>
  <conditionalFormatting sqref="T22:V26">
    <cfRule type="cellIs" dxfId="33" priority="38" operator="equal">
      <formula>0</formula>
    </cfRule>
    <cfRule type="cellIs" dxfId="32" priority="39" operator="equal">
      <formula>"o"</formula>
    </cfRule>
  </conditionalFormatting>
  <conditionalFormatting sqref="T4:AA19">
    <cfRule type="cellIs" priority="6" operator="equal">
      <formula>0</formula>
    </cfRule>
  </conditionalFormatting>
  <conditionalFormatting sqref="T27:AA48">
    <cfRule type="cellIs" priority="9" operator="equal">
      <formula>0</formula>
    </cfRule>
  </conditionalFormatting>
  <conditionalFormatting sqref="T22:AB26">
    <cfRule type="cellIs" priority="37" operator="equal">
      <formula>0</formula>
    </cfRule>
  </conditionalFormatting>
  <conditionalFormatting sqref="V3:V21">
    <cfRule type="cellIs" dxfId="31" priority="2" operator="equal">
      <formula>0</formula>
    </cfRule>
    <cfRule type="cellIs" dxfId="30" priority="3" operator="equal">
      <formula>"o"</formula>
    </cfRule>
  </conditionalFormatting>
  <conditionalFormatting sqref="V27:V49">
    <cfRule type="cellIs" dxfId="29" priority="7" operator="equal">
      <formula>0</formula>
    </cfRule>
    <cfRule type="cellIs" dxfId="28" priority="8" operator="equal">
      <formula>"o"</formula>
    </cfRule>
  </conditionalFormatting>
  <conditionalFormatting sqref="W20:AA20">
    <cfRule type="cellIs" priority="313" operator="equal">
      <formula>0</formula>
    </cfRule>
  </conditionalFormatting>
  <conditionalFormatting sqref="AA51:AB51">
    <cfRule type="cellIs" dxfId="27" priority="451" operator="equal">
      <formula>0</formula>
    </cfRule>
    <cfRule type="cellIs" dxfId="26" priority="452" operator="equal">
      <formula>"o"</formula>
    </cfRule>
  </conditionalFormatting>
  <conditionalFormatting sqref="AB1 Z1:Z2 N51:V51 N52 N64">
    <cfRule type="cellIs" dxfId="25" priority="561" operator="equal">
      <formula>0</formula>
    </cfRule>
  </conditionalFormatting>
  <conditionalFormatting sqref="AB1 Z1:Z2 V51 N52 N64">
    <cfRule type="cellIs" dxfId="24" priority="562" operator="equal">
      <formula>"o"</formula>
    </cfRule>
  </conditionalFormatting>
  <conditionalFormatting sqref="AB1">
    <cfRule type="cellIs" priority="560" operator="equal">
      <formula>0</formula>
    </cfRule>
  </conditionalFormatting>
  <conditionalFormatting sqref="AB3:AB20">
    <cfRule type="cellIs" priority="310" operator="equal">
      <formula>0</formula>
    </cfRule>
  </conditionalFormatting>
  <conditionalFormatting sqref="AB27:AB49">
    <cfRule type="cellIs" priority="166" operator="equal">
      <formula>0</formula>
    </cfRule>
  </conditionalFormatting>
  <conditionalFormatting sqref="AB51">
    <cfRule type="cellIs" priority="448" operator="equal">
      <formula>0</formula>
    </cfRule>
  </conditionalFormatting>
  <pageMargins left="0.51181102362204722" right="0.51181102362204722" top="0.74803149606299213" bottom="0.74803149606299213" header="0.31496062992125984" footer="0.31496062992125984"/>
  <pageSetup paperSize="9" orientation="landscape"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zoomScale="180" zoomScaleNormal="180" workbookViewId="0">
      <selection activeCell="B9" sqref="B9:C9"/>
    </sheetView>
  </sheetViews>
  <sheetFormatPr defaultRowHeight="27" customHeight="1" x14ac:dyDescent="0.2"/>
  <cols>
    <col min="1" max="1" width="11.42578125" style="2" customWidth="1"/>
    <col min="2" max="5" width="12.140625" style="2" customWidth="1"/>
    <col min="6" max="16384" width="9.140625" style="21"/>
  </cols>
  <sheetData>
    <row r="1" spans="1:5" ht="27" customHeight="1" x14ac:dyDescent="0.2">
      <c r="A1" s="415" t="s">
        <v>490</v>
      </c>
      <c r="B1" s="415" t="s">
        <v>493</v>
      </c>
      <c r="C1" s="415"/>
      <c r="D1" s="415" t="s">
        <v>494</v>
      </c>
      <c r="E1" s="415"/>
    </row>
    <row r="2" spans="1:5" ht="27" customHeight="1" x14ac:dyDescent="0.2">
      <c r="A2" s="416"/>
      <c r="B2" s="100" t="s">
        <v>491</v>
      </c>
      <c r="C2" s="100" t="s">
        <v>492</v>
      </c>
      <c r="D2" s="100" t="s">
        <v>491</v>
      </c>
      <c r="E2" s="100" t="s">
        <v>492</v>
      </c>
    </row>
    <row r="3" spans="1:5" ht="27" customHeight="1" x14ac:dyDescent="0.2">
      <c r="A3" s="2" t="s">
        <v>495</v>
      </c>
      <c r="B3" s="6">
        <v>12911.47</v>
      </c>
      <c r="C3" s="6">
        <f>B3*0.25</f>
        <v>3227.8674999999998</v>
      </c>
      <c r="D3" s="6">
        <v>13000</v>
      </c>
      <c r="E3" s="6">
        <v>4298.08</v>
      </c>
    </row>
    <row r="4" spans="1:5" ht="27" customHeight="1" x14ac:dyDescent="0.2">
      <c r="A4" s="2" t="s">
        <v>496</v>
      </c>
      <c r="B4" s="6">
        <v>12911.47</v>
      </c>
      <c r="C4" s="6">
        <f t="shared" ref="C4:C8" si="0">B4*0.25</f>
        <v>3227.8674999999998</v>
      </c>
      <c r="D4" s="6">
        <v>9000</v>
      </c>
      <c r="E4" s="6">
        <v>3014.42</v>
      </c>
    </row>
    <row r="5" spans="1:5" ht="27" customHeight="1" x14ac:dyDescent="0.2">
      <c r="A5" s="2" t="s">
        <v>497</v>
      </c>
      <c r="B5" s="6">
        <v>12911.47</v>
      </c>
      <c r="C5" s="6">
        <f t="shared" si="0"/>
        <v>3227.8674999999998</v>
      </c>
      <c r="D5" s="6">
        <v>14000</v>
      </c>
      <c r="E5" s="6">
        <v>4670.67</v>
      </c>
    </row>
    <row r="6" spans="1:5" ht="27" customHeight="1" x14ac:dyDescent="0.2">
      <c r="A6" s="2" t="s">
        <v>498</v>
      </c>
      <c r="B6" s="6"/>
      <c r="C6" s="294"/>
      <c r="D6" s="294"/>
      <c r="E6" s="294"/>
    </row>
    <row r="7" spans="1:5" ht="27" customHeight="1" x14ac:dyDescent="0.2">
      <c r="A7" s="2" t="s">
        <v>499</v>
      </c>
      <c r="B7" s="6">
        <v>12911.47</v>
      </c>
      <c r="C7" s="6">
        <f t="shared" si="0"/>
        <v>3227.8674999999998</v>
      </c>
      <c r="D7" s="6">
        <v>3846.15</v>
      </c>
      <c r="E7" s="6">
        <v>833.84</v>
      </c>
    </row>
    <row r="8" spans="1:5" ht="27" customHeight="1" x14ac:dyDescent="0.2">
      <c r="A8" s="100" t="s">
        <v>500</v>
      </c>
      <c r="B8" s="293">
        <v>12911.47</v>
      </c>
      <c r="C8" s="293">
        <f t="shared" si="0"/>
        <v>3227.8674999999998</v>
      </c>
      <c r="D8" s="293">
        <v>13000</v>
      </c>
      <c r="E8" s="293">
        <v>4349.76</v>
      </c>
    </row>
    <row r="9" spans="1:5" ht="27" customHeight="1" x14ac:dyDescent="0.2">
      <c r="B9" s="6">
        <f>SUM(B3:B8)</f>
        <v>64557.35</v>
      </c>
      <c r="C9" s="6">
        <f t="shared" ref="C9:E9" si="1">SUM(C3:C8)</f>
        <v>16139.3375</v>
      </c>
      <c r="D9" s="6">
        <f t="shared" si="1"/>
        <v>52846.15</v>
      </c>
      <c r="E9" s="6">
        <f t="shared" si="1"/>
        <v>17166.77</v>
      </c>
    </row>
    <row r="10" spans="1:5" ht="27" customHeight="1" x14ac:dyDescent="0.2">
      <c r="B10" s="417">
        <f>B9+C9</f>
        <v>80696.6875</v>
      </c>
      <c r="C10" s="418"/>
      <c r="D10" s="417">
        <f>D9+E9</f>
        <v>70012.92</v>
      </c>
      <c r="E10" s="418"/>
    </row>
  </sheetData>
  <mergeCells count="5">
    <mergeCell ref="B1:C1"/>
    <mergeCell ref="D1:E1"/>
    <mergeCell ref="A1:A2"/>
    <mergeCell ref="B10:C10"/>
    <mergeCell ref="D10:E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356B5-421D-4F29-BE68-412BE58A6242}">
  <dimension ref="A1:L10"/>
  <sheetViews>
    <sheetView zoomScale="120" zoomScaleNormal="120" workbookViewId="0">
      <pane ySplit="2" topLeftCell="A3" activePane="bottomLeft" state="frozen"/>
      <selection pane="bottomLeft" activeCell="H11" sqref="H11"/>
    </sheetView>
  </sheetViews>
  <sheetFormatPr defaultRowHeight="12.75" x14ac:dyDescent="0.2"/>
  <cols>
    <col min="1" max="1" width="3.7109375" style="1" customWidth="1"/>
    <col min="2" max="2" width="4.85546875" style="24" customWidth="1"/>
    <col min="3" max="3" width="21" customWidth="1"/>
    <col min="4" max="4" width="2.140625" customWidth="1"/>
    <col min="5" max="5" width="4.85546875" style="24" customWidth="1"/>
    <col min="6" max="6" width="21" customWidth="1"/>
    <col min="7" max="7" width="2.140625" customWidth="1"/>
    <col min="8" max="8" width="4.85546875" style="24" customWidth="1"/>
    <col min="9" max="9" width="21" customWidth="1"/>
    <col min="10" max="10" width="2.140625" customWidth="1"/>
    <col min="11" max="11" width="4.85546875" style="24" customWidth="1"/>
    <col min="12" max="12" width="21" customWidth="1"/>
  </cols>
  <sheetData>
    <row r="1" spans="1:12" s="40" customFormat="1" ht="38.25" customHeight="1" x14ac:dyDescent="0.2">
      <c r="A1" s="332" t="s">
        <v>258</v>
      </c>
      <c r="B1" s="329" t="s">
        <v>101</v>
      </c>
      <c r="C1" s="329"/>
      <c r="E1" s="330" t="s">
        <v>102</v>
      </c>
      <c r="F1" s="330"/>
      <c r="H1" s="329" t="s">
        <v>101</v>
      </c>
      <c r="I1" s="329"/>
      <c r="K1" s="330" t="s">
        <v>102</v>
      </c>
      <c r="L1" s="330"/>
    </row>
    <row r="2" spans="1:12" ht="38.25" customHeight="1" x14ac:dyDescent="0.2">
      <c r="A2" s="332"/>
      <c r="B2" s="41" t="s">
        <v>59</v>
      </c>
      <c r="C2" s="26" t="s">
        <v>62</v>
      </c>
      <c r="E2" s="38" t="s">
        <v>59</v>
      </c>
      <c r="F2" s="27" t="s">
        <v>63</v>
      </c>
      <c r="H2" s="41" t="s">
        <v>59</v>
      </c>
      <c r="I2" s="26" t="s">
        <v>62</v>
      </c>
      <c r="K2" s="38" t="s">
        <v>59</v>
      </c>
      <c r="L2" s="27" t="s">
        <v>63</v>
      </c>
    </row>
    <row r="3" spans="1:12" s="23" customFormat="1" ht="21" customHeight="1" x14ac:dyDescent="0.25">
      <c r="A3" s="1"/>
      <c r="B3" s="136"/>
      <c r="C3" s="137"/>
      <c r="E3" s="136"/>
      <c r="F3" s="137"/>
      <c r="H3" s="136"/>
      <c r="I3" s="137"/>
      <c r="K3" s="136"/>
      <c r="L3" s="137"/>
    </row>
    <row r="4" spans="1:12" s="23" customFormat="1" ht="21" customHeight="1" x14ac:dyDescent="0.25">
      <c r="A4" s="445" t="s">
        <v>68</v>
      </c>
      <c r="B4" s="112" t="s">
        <v>20</v>
      </c>
      <c r="C4" s="446">
        <v>8</v>
      </c>
      <c r="D4" s="447"/>
      <c r="E4" s="112" t="str">
        <f>B4</f>
        <v>A1</v>
      </c>
      <c r="F4" s="446">
        <v>13</v>
      </c>
      <c r="H4" s="112" t="s">
        <v>20</v>
      </c>
      <c r="I4" s="252">
        <f>C4*'Tabelle CCNL'!E33</f>
        <v>144354.96000000002</v>
      </c>
      <c r="J4" s="447"/>
      <c r="K4" s="112" t="str">
        <f>H4</f>
        <v>A1</v>
      </c>
      <c r="L4" s="252">
        <f>F4*'Tabelle CCNL'!E33</f>
        <v>234576.81000000003</v>
      </c>
    </row>
    <row r="5" spans="1:12" s="23" customFormat="1" ht="21" customHeight="1" x14ac:dyDescent="0.25">
      <c r="A5" s="445" t="s">
        <v>75</v>
      </c>
      <c r="B5" s="112" t="s">
        <v>26</v>
      </c>
      <c r="C5" s="446">
        <v>14</v>
      </c>
      <c r="D5" s="447"/>
      <c r="E5" s="112" t="str">
        <f>B5</f>
        <v>B1</v>
      </c>
      <c r="F5" s="446">
        <v>15</v>
      </c>
      <c r="H5" s="112" t="s">
        <v>26</v>
      </c>
      <c r="I5" s="252">
        <f>C5*'Tabelle CCNL'!E39</f>
        <v>266483.13999999996</v>
      </c>
      <c r="J5" s="447"/>
      <c r="K5" s="112" t="str">
        <f>H5</f>
        <v>B1</v>
      </c>
      <c r="L5" s="252">
        <f>F5*'Tabelle CCNL'!E39</f>
        <v>285517.64999999997</v>
      </c>
    </row>
    <row r="6" spans="1:12" ht="21" customHeight="1" x14ac:dyDescent="0.25">
      <c r="A6" s="445" t="s">
        <v>55</v>
      </c>
      <c r="B6" s="112" t="s">
        <v>55</v>
      </c>
      <c r="C6" s="446">
        <v>16</v>
      </c>
      <c r="D6" s="447"/>
      <c r="E6" s="112" t="str">
        <f>B6</f>
        <v>C</v>
      </c>
      <c r="F6" s="446">
        <v>11</v>
      </c>
      <c r="H6" s="112" t="s">
        <v>55</v>
      </c>
      <c r="I6" s="252">
        <f>C6*'Tabelle CCNL'!E47</f>
        <v>342285.92</v>
      </c>
      <c r="J6" s="447"/>
      <c r="K6" s="112" t="str">
        <f>H6</f>
        <v>C</v>
      </c>
      <c r="L6" s="252">
        <f>F6*'Tabelle CCNL'!E47</f>
        <v>235321.56999999998</v>
      </c>
    </row>
    <row r="7" spans="1:12" ht="21" customHeight="1" x14ac:dyDescent="0.25">
      <c r="A7" s="445" t="s">
        <v>90</v>
      </c>
      <c r="B7" s="112" t="s">
        <v>40</v>
      </c>
      <c r="C7" s="446">
        <v>5</v>
      </c>
      <c r="D7" s="447"/>
      <c r="E7" s="112" t="s">
        <v>40</v>
      </c>
      <c r="F7" s="446">
        <v>4</v>
      </c>
      <c r="H7" s="112" t="s">
        <v>40</v>
      </c>
      <c r="I7" s="252">
        <f>C7*'Tabelle CCNL'!E53</f>
        <v>116061.74999999997</v>
      </c>
      <c r="J7" s="447"/>
      <c r="K7" s="112" t="s">
        <v>40</v>
      </c>
      <c r="L7" s="252">
        <f>F7*'Tabelle CCNL'!E53</f>
        <v>92849.39999999998</v>
      </c>
    </row>
    <row r="8" spans="1:12" s="23" customFormat="1" ht="21" customHeight="1" x14ac:dyDescent="0.25">
      <c r="A8" s="1"/>
      <c r="B8" s="53"/>
      <c r="C8" s="1">
        <f>SUM(C4:C7)</f>
        <v>43</v>
      </c>
      <c r="D8" s="121"/>
      <c r="E8" s="53"/>
      <c r="F8" s="1">
        <f>SUM(F4:F7)</f>
        <v>43</v>
      </c>
      <c r="H8" s="53"/>
      <c r="I8" s="171">
        <f>SUM(I4:I7)</f>
        <v>869185.77</v>
      </c>
      <c r="J8" s="121"/>
      <c r="K8" s="53"/>
      <c r="L8" s="171">
        <f>SUM(L4:L7)</f>
        <v>848265.42999999993</v>
      </c>
    </row>
    <row r="9" spans="1:12" s="23" customFormat="1" ht="21" customHeight="1" x14ac:dyDescent="0.25">
      <c r="A9" s="1"/>
      <c r="B9" s="22"/>
      <c r="C9" s="21"/>
      <c r="E9" s="22"/>
      <c r="F9" s="21"/>
      <c r="H9" s="22"/>
      <c r="I9" s="21"/>
      <c r="K9" s="22"/>
      <c r="L9" s="21"/>
    </row>
    <row r="10" spans="1:12" s="23" customFormat="1" ht="21" customHeight="1" x14ac:dyDescent="0.25">
      <c r="A10" s="441" t="s">
        <v>508</v>
      </c>
      <c r="B10" s="442"/>
      <c r="C10" s="443"/>
      <c r="D10" s="443"/>
      <c r="E10" s="442"/>
      <c r="F10" s="444">
        <f>F8/C8</f>
        <v>1</v>
      </c>
      <c r="H10" s="441" t="s">
        <v>509</v>
      </c>
      <c r="I10" s="442"/>
      <c r="J10" s="443"/>
      <c r="K10" s="443"/>
      <c r="L10" s="444">
        <f>L8/I8</f>
        <v>0.97593110618918655</v>
      </c>
    </row>
  </sheetData>
  <mergeCells count="5">
    <mergeCell ref="H1:I1"/>
    <mergeCell ref="K1:L1"/>
    <mergeCell ref="A1:A2"/>
    <mergeCell ref="B1:C1"/>
    <mergeCell ref="E1:F1"/>
  </mergeCells>
  <conditionalFormatting sqref="B7">
    <cfRule type="cellIs" dxfId="18" priority="11" operator="equal">
      <formula>0</formula>
    </cfRule>
  </conditionalFormatting>
  <conditionalFormatting sqref="E7">
    <cfRule type="cellIs" dxfId="14" priority="23" operator="equal">
      <formula>0</formula>
    </cfRule>
  </conditionalFormatting>
  <conditionalFormatting sqref="H7">
    <cfRule type="cellIs" dxfId="1" priority="1" operator="equal">
      <formula>0</formula>
    </cfRule>
  </conditionalFormatting>
  <conditionalFormatting sqref="K7">
    <cfRule type="cellIs" dxfId="0" priority="2" operator="equal">
      <formula>0</formula>
    </cfRule>
  </conditionalFormatting>
  <printOptions horizontalCentered="1"/>
  <pageMargins left="0.51181102362204722" right="0.51181102362204722" top="0.74803149606299213" bottom="0.74803149606299213" header="0.31496062992125984" footer="0.31496062992125984"/>
  <pageSetup paperSize="9" orientation="landscape" horizontalDpi="1200" verticalDpi="1200" r:id="rId1"/>
  <headerFooter>
    <oddFooter>&amp;C&amp;"Garamond,Normale"&amp;P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72"/>
  <sheetViews>
    <sheetView tabSelected="1" topLeftCell="A25" zoomScale="130" zoomScaleNormal="130" workbookViewId="0">
      <selection activeCell="A53" sqref="A53"/>
    </sheetView>
  </sheetViews>
  <sheetFormatPr defaultRowHeight="31.5" customHeight="1" x14ac:dyDescent="0.2"/>
  <cols>
    <col min="1" max="1" width="18.28515625" style="13" customWidth="1"/>
    <col min="2" max="2" width="81.140625" style="10" customWidth="1"/>
    <col min="3" max="4" width="17" style="11" customWidth="1"/>
    <col min="5" max="16384" width="9.140625" style="10"/>
  </cols>
  <sheetData>
    <row r="1" spans="1:4" ht="31.5" customHeight="1" x14ac:dyDescent="0.2">
      <c r="A1" s="422" t="s">
        <v>105</v>
      </c>
      <c r="B1" s="423"/>
      <c r="C1" s="423"/>
      <c r="D1" s="424"/>
    </row>
    <row r="2" spans="1:4" ht="31.5" customHeight="1" x14ac:dyDescent="0.2">
      <c r="A2" s="62" t="s">
        <v>9</v>
      </c>
      <c r="B2" s="51" t="s">
        <v>6</v>
      </c>
      <c r="C2" s="51" t="s">
        <v>7</v>
      </c>
      <c r="D2" s="51" t="s">
        <v>8</v>
      </c>
    </row>
    <row r="3" spans="1:4" ht="31.5" customHeight="1" x14ac:dyDescent="0.2">
      <c r="A3" s="429" t="s">
        <v>120</v>
      </c>
      <c r="B3" s="48" t="s">
        <v>10</v>
      </c>
      <c r="C3" s="49">
        <v>215201.65</v>
      </c>
      <c r="D3" s="50"/>
    </row>
    <row r="4" spans="1:4" ht="31.5" customHeight="1" x14ac:dyDescent="0.2">
      <c r="A4" s="430"/>
      <c r="B4" s="43" t="s">
        <v>11</v>
      </c>
      <c r="C4" s="47"/>
      <c r="D4" s="44">
        <f>83.2*Personale!D62</f>
        <v>3827.2000000000003</v>
      </c>
    </row>
    <row r="5" spans="1:4" ht="31.5" customHeight="1" x14ac:dyDescent="0.2">
      <c r="A5" s="430"/>
      <c r="B5" s="43" t="s">
        <v>144</v>
      </c>
      <c r="C5" s="47"/>
      <c r="D5" s="44">
        <f>'Differenziali 2018'!G35</f>
        <v>1991.6</v>
      </c>
    </row>
    <row r="6" spans="1:4" ht="31.5" customHeight="1" x14ac:dyDescent="0.2">
      <c r="A6" s="430"/>
      <c r="B6" s="43" t="s">
        <v>12</v>
      </c>
      <c r="C6" s="44">
        <f>RIA!D6</f>
        <v>3013.92</v>
      </c>
      <c r="D6" s="47"/>
    </row>
    <row r="7" spans="1:4" ht="31.5" customHeight="1" x14ac:dyDescent="0.2">
      <c r="A7" s="430"/>
      <c r="B7" s="43" t="s">
        <v>13</v>
      </c>
      <c r="C7" s="44"/>
      <c r="D7" s="47"/>
    </row>
    <row r="8" spans="1:4" ht="31.5" customHeight="1" x14ac:dyDescent="0.2">
      <c r="A8" s="430"/>
      <c r="B8" s="43" t="s">
        <v>99</v>
      </c>
      <c r="C8" s="47"/>
      <c r="D8" s="44"/>
    </row>
    <row r="9" spans="1:4" ht="31.5" customHeight="1" x14ac:dyDescent="0.2">
      <c r="A9" s="430"/>
      <c r="B9" s="43" t="s">
        <v>14</v>
      </c>
      <c r="C9" s="44"/>
      <c r="D9" s="47"/>
    </row>
    <row r="10" spans="1:4" ht="31.5" customHeight="1" x14ac:dyDescent="0.2">
      <c r="A10" s="63" t="s">
        <v>121</v>
      </c>
      <c r="B10" s="43" t="s">
        <v>15</v>
      </c>
      <c r="C10" s="47"/>
      <c r="D10" s="44">
        <f>84.5*Personale!L62</f>
        <v>3633.5</v>
      </c>
    </row>
    <row r="11" spans="1:4" ht="31.5" customHeight="1" x14ac:dyDescent="0.2">
      <c r="A11" s="63" t="s">
        <v>122</v>
      </c>
      <c r="B11" s="43" t="s">
        <v>19</v>
      </c>
      <c r="C11" s="44"/>
      <c r="D11" s="47"/>
    </row>
    <row r="12" spans="1:4" ht="31.5" customHeight="1" x14ac:dyDescent="0.2">
      <c r="A12" s="63" t="s">
        <v>123</v>
      </c>
      <c r="B12" s="43" t="s">
        <v>18</v>
      </c>
      <c r="C12" s="47"/>
      <c r="D12" s="44">
        <f>'Differenziali 2021'!F41</f>
        <v>7582.64</v>
      </c>
    </row>
    <row r="13" spans="1:4" ht="31.5" customHeight="1" x14ac:dyDescent="0.2">
      <c r="A13" s="64" t="s">
        <v>53</v>
      </c>
      <c r="B13" s="56" t="s">
        <v>54</v>
      </c>
      <c r="C13" s="60"/>
      <c r="D13" s="58">
        <f>'Differenziali B3-D3'!D8</f>
        <v>19325.45333333336</v>
      </c>
    </row>
    <row r="14" spans="1:4" ht="31.5" customHeight="1" x14ac:dyDescent="0.2">
      <c r="A14" s="54"/>
      <c r="B14" s="55" t="s">
        <v>106</v>
      </c>
      <c r="C14" s="49">
        <f>SUM(C3:C13)</f>
        <v>218215.57</v>
      </c>
      <c r="D14" s="49">
        <f>SUM(D3:D13)</f>
        <v>36360.393333333355</v>
      </c>
    </row>
    <row r="15" spans="1:4" ht="31.5" customHeight="1" x14ac:dyDescent="0.2">
      <c r="A15" s="64" t="s">
        <v>127</v>
      </c>
      <c r="B15" s="59" t="s">
        <v>345</v>
      </c>
      <c r="C15" s="58">
        <v>269740.12</v>
      </c>
      <c r="D15" s="60"/>
    </row>
    <row r="16" spans="1:4" ht="31.5" customHeight="1" x14ac:dyDescent="0.2">
      <c r="A16" s="63" t="s">
        <v>505</v>
      </c>
      <c r="B16" s="435" t="s">
        <v>506</v>
      </c>
      <c r="C16" s="58"/>
      <c r="D16" s="60"/>
    </row>
    <row r="17" spans="1:4" ht="31.5" customHeight="1" x14ac:dyDescent="0.2">
      <c r="A17" s="104"/>
      <c r="B17" s="105" t="s">
        <v>107</v>
      </c>
      <c r="C17" s="431">
        <f>IF(C15&gt;C14,C14+D14,C15+D14)</f>
        <v>254575.96333333338</v>
      </c>
      <c r="D17" s="431"/>
    </row>
    <row r="18" spans="1:4" ht="31.5" customHeight="1" x14ac:dyDescent="0.2">
      <c r="A18" s="101"/>
      <c r="B18" s="102"/>
      <c r="C18" s="103"/>
      <c r="D18" s="103"/>
    </row>
    <row r="19" spans="1:4" ht="31.5" customHeight="1" x14ac:dyDescent="0.2">
      <c r="A19" s="425" t="s">
        <v>108</v>
      </c>
      <c r="B19" s="426"/>
      <c r="C19" s="426"/>
      <c r="D19" s="427"/>
    </row>
    <row r="20" spans="1:4" ht="31.5" customHeight="1" x14ac:dyDescent="0.2">
      <c r="A20" s="62" t="s">
        <v>9</v>
      </c>
      <c r="B20" s="51" t="s">
        <v>6</v>
      </c>
      <c r="C20" s="51" t="s">
        <v>7</v>
      </c>
      <c r="D20" s="51" t="s">
        <v>8</v>
      </c>
    </row>
    <row r="21" spans="1:4" ht="31.5" customHeight="1" x14ac:dyDescent="0.2">
      <c r="A21" s="429" t="s">
        <v>124</v>
      </c>
      <c r="B21" s="48" t="s">
        <v>16</v>
      </c>
      <c r="C21" s="52"/>
      <c r="D21" s="49">
        <f>D10</f>
        <v>3633.5</v>
      </c>
    </row>
    <row r="22" spans="1:4" ht="31.5" customHeight="1" x14ac:dyDescent="0.2">
      <c r="A22" s="430"/>
      <c r="B22" s="43" t="s">
        <v>17</v>
      </c>
      <c r="C22" s="46"/>
      <c r="D22" s="44">
        <f>D21</f>
        <v>3633.5</v>
      </c>
    </row>
    <row r="23" spans="1:4" ht="31.5" customHeight="1" x14ac:dyDescent="0.2">
      <c r="A23" s="430" t="s">
        <v>125</v>
      </c>
      <c r="B23" s="43" t="s">
        <v>109</v>
      </c>
      <c r="C23" s="45"/>
      <c r="D23" s="46"/>
    </row>
    <row r="24" spans="1:4" ht="31.5" customHeight="1" x14ac:dyDescent="0.2">
      <c r="A24" s="430"/>
      <c r="B24" s="43" t="s">
        <v>110</v>
      </c>
      <c r="C24" s="45"/>
      <c r="D24" s="46"/>
    </row>
    <row r="25" spans="1:4" ht="31.5" customHeight="1" x14ac:dyDescent="0.2">
      <c r="A25" s="430"/>
      <c r="B25" s="43" t="s">
        <v>131</v>
      </c>
      <c r="C25" s="46"/>
      <c r="D25" s="46"/>
    </row>
    <row r="26" spans="1:4" ht="31.5" customHeight="1" x14ac:dyDescent="0.2">
      <c r="A26" s="430"/>
      <c r="B26" s="66" t="s">
        <v>135</v>
      </c>
      <c r="C26" s="46"/>
      <c r="D26" s="45"/>
    </row>
    <row r="27" spans="1:4" ht="31.5" customHeight="1" x14ac:dyDescent="0.2">
      <c r="A27" s="430"/>
      <c r="B27" s="66" t="s">
        <v>195</v>
      </c>
      <c r="C27" s="46"/>
      <c r="D27" s="45"/>
    </row>
    <row r="28" spans="1:4" ht="31.5" customHeight="1" x14ac:dyDescent="0.2">
      <c r="A28" s="430"/>
      <c r="B28" s="66" t="s">
        <v>136</v>
      </c>
      <c r="C28" s="46"/>
      <c r="D28" s="45"/>
    </row>
    <row r="29" spans="1:4" ht="31.5" customHeight="1" x14ac:dyDescent="0.2">
      <c r="A29" s="430"/>
      <c r="B29" s="66" t="s">
        <v>137</v>
      </c>
      <c r="C29" s="46"/>
      <c r="D29" s="45"/>
    </row>
    <row r="30" spans="1:4" ht="31.5" customHeight="1" x14ac:dyDescent="0.2">
      <c r="A30" s="430"/>
      <c r="B30" s="66" t="s">
        <v>138</v>
      </c>
      <c r="C30" s="46"/>
      <c r="D30" s="45"/>
    </row>
    <row r="31" spans="1:4" ht="31.5" customHeight="1" x14ac:dyDescent="0.2">
      <c r="A31" s="430"/>
      <c r="B31" s="66" t="s">
        <v>139</v>
      </c>
      <c r="C31" s="46"/>
      <c r="D31" s="45"/>
    </row>
    <row r="32" spans="1:4" ht="31.5" customHeight="1" x14ac:dyDescent="0.2">
      <c r="A32" s="430"/>
      <c r="B32" s="43" t="s">
        <v>111</v>
      </c>
      <c r="C32" s="46"/>
      <c r="D32" s="44">
        <f>RIA!E6</f>
        <v>1713.66</v>
      </c>
    </row>
    <row r="33" spans="1:4" ht="31.5" customHeight="1" x14ac:dyDescent="0.2">
      <c r="A33" s="430"/>
      <c r="B33" s="43" t="s">
        <v>112</v>
      </c>
      <c r="C33" s="46"/>
      <c r="D33" s="45"/>
    </row>
    <row r="34" spans="1:4" ht="31.5" customHeight="1" x14ac:dyDescent="0.2">
      <c r="A34" s="430"/>
      <c r="B34" s="43" t="s">
        <v>113</v>
      </c>
      <c r="C34" s="46"/>
      <c r="D34" s="45"/>
    </row>
    <row r="35" spans="1:4" ht="31.5" customHeight="1" x14ac:dyDescent="0.2">
      <c r="A35" s="63" t="s">
        <v>119</v>
      </c>
      <c r="B35" s="43" t="s">
        <v>116</v>
      </c>
      <c r="C35" s="45"/>
      <c r="D35" s="46"/>
    </row>
    <row r="36" spans="1:4" ht="31.5" customHeight="1" x14ac:dyDescent="0.2">
      <c r="A36" s="63" t="s">
        <v>118</v>
      </c>
      <c r="B36" s="43" t="s">
        <v>117</v>
      </c>
      <c r="C36" s="45"/>
      <c r="D36" s="46"/>
    </row>
    <row r="37" spans="1:4" ht="31.5" customHeight="1" x14ac:dyDescent="0.2">
      <c r="A37" s="63" t="s">
        <v>126</v>
      </c>
      <c r="B37" s="43" t="s">
        <v>114</v>
      </c>
      <c r="C37" s="46"/>
      <c r="D37" s="44">
        <f>'Utilizzo Fondo 2022'!F46</f>
        <v>1080</v>
      </c>
    </row>
    <row r="38" spans="1:4" ht="31.5" customHeight="1" x14ac:dyDescent="0.2">
      <c r="A38" s="63" t="s">
        <v>115</v>
      </c>
      <c r="B38" s="43" t="s">
        <v>143</v>
      </c>
      <c r="C38" s="46"/>
      <c r="D38" s="44">
        <f>(('MS 2018 T12'!$H$4+'MS 2018 T13'!$W$4)*0.22%)/($C$15+$C$55)*$C$15</f>
        <v>2354.1133020100119</v>
      </c>
    </row>
    <row r="39" spans="1:4" ht="31.5" customHeight="1" x14ac:dyDescent="0.2">
      <c r="A39" s="63" t="s">
        <v>507</v>
      </c>
      <c r="B39" s="43" t="s">
        <v>502</v>
      </c>
      <c r="C39" s="46"/>
      <c r="D39" s="44">
        <f>(269740.12*0.05)/($C$15+$C$55)*$C$15</f>
        <v>10381.291402675275</v>
      </c>
    </row>
    <row r="40" spans="1:4" ht="31.5" customHeight="1" x14ac:dyDescent="0.2">
      <c r="A40" s="64" t="s">
        <v>133</v>
      </c>
      <c r="B40" s="56" t="s">
        <v>134</v>
      </c>
      <c r="C40" s="57"/>
      <c r="D40" s="58">
        <f>'Utilizzo Fondo 2022'!F42</f>
        <v>10797.216666666704</v>
      </c>
    </row>
    <row r="41" spans="1:4" ht="31.5" customHeight="1" x14ac:dyDescent="0.2">
      <c r="A41" s="65"/>
      <c r="B41" s="55" t="s">
        <v>106</v>
      </c>
      <c r="C41" s="49">
        <f>SUM(C21:C40)</f>
        <v>0</v>
      </c>
      <c r="D41" s="49">
        <f>SUM(D21:D40)</f>
        <v>33593.281371351986</v>
      </c>
    </row>
    <row r="42" spans="1:4" ht="31.5" customHeight="1" x14ac:dyDescent="0.2">
      <c r="A42" s="436" t="s">
        <v>127</v>
      </c>
      <c r="B42" s="437" t="s">
        <v>347</v>
      </c>
      <c r="C42" s="438">
        <v>45.57</v>
      </c>
      <c r="D42" s="57"/>
    </row>
    <row r="43" spans="1:4" ht="31.5" customHeight="1" x14ac:dyDescent="0.2">
      <c r="A43" s="64" t="s">
        <v>505</v>
      </c>
      <c r="B43" s="59" t="s">
        <v>506</v>
      </c>
      <c r="C43" s="58"/>
      <c r="D43" s="60"/>
    </row>
    <row r="44" spans="1:4" ht="31.5" customHeight="1" x14ac:dyDescent="0.2">
      <c r="A44" s="54"/>
      <c r="B44" s="55" t="s">
        <v>128</v>
      </c>
      <c r="C44" s="428">
        <f>IF(C42&gt;C41,C41+D41,C42+D41)</f>
        <v>33593.281371351986</v>
      </c>
      <c r="D44" s="428"/>
    </row>
    <row r="46" spans="1:4" ht="31.5" customHeight="1" x14ac:dyDescent="0.2">
      <c r="A46" s="419" t="s">
        <v>132</v>
      </c>
      <c r="B46" s="420"/>
      <c r="C46" s="420"/>
      <c r="D46" s="421"/>
    </row>
    <row r="47" spans="1:4" ht="31.5" customHeight="1" x14ac:dyDescent="0.2">
      <c r="A47" s="62" t="s">
        <v>9</v>
      </c>
      <c r="B47" s="51" t="s">
        <v>6</v>
      </c>
      <c r="C47" s="51" t="s">
        <v>7</v>
      </c>
      <c r="D47" s="51" t="s">
        <v>8</v>
      </c>
    </row>
    <row r="48" spans="1:4" ht="31.5" customHeight="1" x14ac:dyDescent="0.2">
      <c r="A48" s="434" t="s">
        <v>145</v>
      </c>
      <c r="B48" s="67" t="s">
        <v>148</v>
      </c>
      <c r="C48" s="49">
        <f>6*16000</f>
        <v>96000</v>
      </c>
      <c r="D48" s="46"/>
    </row>
    <row r="49" spans="1:4" ht="31.5" customHeight="1" x14ac:dyDescent="0.2">
      <c r="A49" s="430"/>
      <c r="B49" s="43" t="s">
        <v>149</v>
      </c>
      <c r="C49" s="49">
        <f>C48*0.15</f>
        <v>14400</v>
      </c>
      <c r="D49" s="46"/>
    </row>
    <row r="50" spans="1:4" ht="31.5" customHeight="1" x14ac:dyDescent="0.2">
      <c r="A50" s="430" t="s">
        <v>146</v>
      </c>
      <c r="B50" s="43" t="s">
        <v>147</v>
      </c>
      <c r="C50" s="46"/>
      <c r="D50" s="49">
        <f>(18000-16000)*6</f>
        <v>12000</v>
      </c>
    </row>
    <row r="51" spans="1:4" ht="31.5" customHeight="1" x14ac:dyDescent="0.2">
      <c r="A51" s="430"/>
      <c r="B51" s="43" t="s">
        <v>150</v>
      </c>
      <c r="C51" s="46"/>
      <c r="D51" s="49">
        <f>D50*0.15</f>
        <v>1800</v>
      </c>
    </row>
    <row r="52" spans="1:4" ht="31.5" customHeight="1" x14ac:dyDescent="0.2">
      <c r="A52" s="63" t="s">
        <v>115</v>
      </c>
      <c r="B52" s="43" t="s">
        <v>143</v>
      </c>
      <c r="C52" s="46"/>
      <c r="D52" s="44">
        <f>(('MS 2018 T12'!$H$4+'MS 2018 T13'!$W$4)*0.22%)/($C$15+$C$55)*$C$55</f>
        <v>704.26729798998781</v>
      </c>
    </row>
    <row r="53" spans="1:4" ht="31.5" customHeight="1" x14ac:dyDescent="0.2">
      <c r="A53" s="63" t="s">
        <v>507</v>
      </c>
      <c r="B53" s="43" t="s">
        <v>346</v>
      </c>
      <c r="C53" s="57"/>
      <c r="D53" s="44">
        <f>(269740.12*0.05)/($C$15+$C$55)*$C$55</f>
        <v>3105.7145973247266</v>
      </c>
    </row>
    <row r="54" spans="1:4" ht="31.5" customHeight="1" x14ac:dyDescent="0.2">
      <c r="A54" s="54"/>
      <c r="B54" s="55" t="s">
        <v>106</v>
      </c>
      <c r="C54" s="69">
        <f>SUM(C48:C53)</f>
        <v>110400</v>
      </c>
      <c r="D54" s="69">
        <f>SUM(D48:D53)</f>
        <v>17609.981895314715</v>
      </c>
    </row>
    <row r="55" spans="1:4" ht="31.5" customHeight="1" x14ac:dyDescent="0.2">
      <c r="A55" s="63" t="s">
        <v>127</v>
      </c>
      <c r="B55" s="435" t="s">
        <v>501</v>
      </c>
      <c r="C55" s="49">
        <f>PO!B10</f>
        <v>80696.6875</v>
      </c>
      <c r="D55" s="68"/>
    </row>
    <row r="56" spans="1:4" ht="31.5" customHeight="1" x14ac:dyDescent="0.2">
      <c r="A56" s="439" t="s">
        <v>505</v>
      </c>
      <c r="B56" s="440" t="s">
        <v>506</v>
      </c>
      <c r="C56" s="303"/>
      <c r="D56" s="60"/>
    </row>
    <row r="57" spans="1:4" ht="31.5" customHeight="1" x14ac:dyDescent="0.2">
      <c r="A57" s="54"/>
      <c r="B57" s="55" t="s">
        <v>151</v>
      </c>
      <c r="C57" s="428">
        <f>IF(C55&gt;C54,C54+D54,C55+D54)</f>
        <v>98306.669395314719</v>
      </c>
      <c r="D57" s="428"/>
    </row>
    <row r="59" spans="1:4" ht="31.5" customHeight="1" x14ac:dyDescent="0.2">
      <c r="A59" s="10"/>
      <c r="B59" s="432" t="s">
        <v>160</v>
      </c>
      <c r="C59" s="433"/>
      <c r="D59" s="10"/>
    </row>
    <row r="60" spans="1:4" ht="31.5" customHeight="1" x14ac:dyDescent="0.2">
      <c r="B60" s="70" t="s">
        <v>152</v>
      </c>
      <c r="C60" s="71">
        <f>C17</f>
        <v>254575.96333333338</v>
      </c>
      <c r="D60" s="10"/>
    </row>
    <row r="61" spans="1:4" ht="31.5" customHeight="1" x14ac:dyDescent="0.2">
      <c r="B61" s="72" t="s">
        <v>153</v>
      </c>
      <c r="C61" s="73">
        <f>C44</f>
        <v>33593.281371351986</v>
      </c>
      <c r="D61" s="10"/>
    </row>
    <row r="62" spans="1:4" ht="31.5" customHeight="1" x14ac:dyDescent="0.2">
      <c r="B62" s="72" t="s">
        <v>154</v>
      </c>
      <c r="C62" s="73">
        <f>C57</f>
        <v>98306.669395314719</v>
      </c>
      <c r="D62" s="10"/>
    </row>
    <row r="63" spans="1:4" ht="31.5" customHeight="1" x14ac:dyDescent="0.2">
      <c r="B63" s="74" t="s">
        <v>156</v>
      </c>
      <c r="C63" s="75">
        <f>'Utilizzo Fondo 2022'!B46</f>
        <v>1080</v>
      </c>
      <c r="D63" s="10"/>
    </row>
    <row r="64" spans="1:4" ht="31.5" customHeight="1" x14ac:dyDescent="0.2">
      <c r="B64" s="76" t="s">
        <v>155</v>
      </c>
      <c r="C64" s="77">
        <f>SUM(C60:C63)</f>
        <v>387555.91410000005</v>
      </c>
    </row>
    <row r="65" spans="2:4" ht="31.5" customHeight="1" x14ac:dyDescent="0.2">
      <c r="B65" s="72" t="s">
        <v>157</v>
      </c>
      <c r="C65" s="73"/>
      <c r="D65" s="10"/>
    </row>
    <row r="66" spans="2:4" ht="31.5" customHeight="1" x14ac:dyDescent="0.2">
      <c r="B66" s="72" t="s">
        <v>158</v>
      </c>
      <c r="C66" s="73">
        <f>Stipendi!C55/12*13</f>
        <v>52032.467500000035</v>
      </c>
      <c r="D66" s="10"/>
    </row>
    <row r="67" spans="2:4" ht="31.5" customHeight="1" x14ac:dyDescent="0.2">
      <c r="B67" s="72" t="s">
        <v>159</v>
      </c>
      <c r="C67" s="73">
        <f>Stipendi!C61</f>
        <v>20536.080000000002</v>
      </c>
      <c r="D67" s="10"/>
    </row>
    <row r="68" spans="2:4" ht="31.5" customHeight="1" x14ac:dyDescent="0.2">
      <c r="B68" s="78" t="s">
        <v>199</v>
      </c>
      <c r="C68" s="79">
        <f>C64-C66-C67</f>
        <v>314987.36660000001</v>
      </c>
    </row>
    <row r="69" spans="2:4" ht="31.5" customHeight="1" x14ac:dyDescent="0.2">
      <c r="B69" s="432" t="s">
        <v>196</v>
      </c>
      <c r="C69" s="433"/>
    </row>
    <row r="70" spans="2:4" ht="31.5" customHeight="1" x14ac:dyDescent="0.2">
      <c r="B70" s="72" t="s">
        <v>197</v>
      </c>
      <c r="C70" s="73">
        <f>C60-C66-C67</f>
        <v>182007.41583333333</v>
      </c>
      <c r="D70" s="10"/>
    </row>
    <row r="71" spans="2:4" ht="31.5" customHeight="1" x14ac:dyDescent="0.2">
      <c r="B71" s="72" t="s">
        <v>198</v>
      </c>
      <c r="C71" s="73">
        <f>C61</f>
        <v>33593.281371351986</v>
      </c>
      <c r="D71" s="10"/>
    </row>
    <row r="72" spans="2:4" ht="31.5" customHeight="1" x14ac:dyDescent="0.2">
      <c r="B72" s="78" t="s">
        <v>104</v>
      </c>
      <c r="C72" s="79">
        <f>SUM(C70:C71)</f>
        <v>215600.6972046853</v>
      </c>
    </row>
  </sheetData>
  <mergeCells count="13">
    <mergeCell ref="B69:C69"/>
    <mergeCell ref="B59:C59"/>
    <mergeCell ref="A48:A49"/>
    <mergeCell ref="A50:A51"/>
    <mergeCell ref="C57:D57"/>
    <mergeCell ref="A46:D46"/>
    <mergeCell ref="A1:D1"/>
    <mergeCell ref="A19:D19"/>
    <mergeCell ref="C44:D44"/>
    <mergeCell ref="A3:A9"/>
    <mergeCell ref="A21:A22"/>
    <mergeCell ref="C17:D17"/>
    <mergeCell ref="A23:A34"/>
  </mergeCells>
  <printOptions horizontalCentered="1"/>
  <pageMargins left="0.70866141732283472" right="0.70866141732283472" top="0.98425196850393704" bottom="0.98425196850393704" header="0.31496062992125984" footer="0.31496062992125984"/>
  <pageSetup paperSize="9" orientation="landscape" r:id="rId1"/>
  <headerFooter>
    <oddFooter>&amp;C&amp;"Garamond,Normale"&amp;P</oddFooter>
  </headerFooter>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topLeftCell="A43" zoomScale="130" zoomScaleNormal="130" workbookViewId="0">
      <selection activeCell="E47" sqref="E47"/>
    </sheetView>
  </sheetViews>
  <sheetFormatPr defaultRowHeight="21" customHeight="1" x14ac:dyDescent="0.2"/>
  <cols>
    <col min="1" max="1" width="18.5703125" style="29" customWidth="1"/>
    <col min="2" max="3" width="9.140625" style="29"/>
    <col min="4" max="4" width="2" style="29" customWidth="1"/>
    <col min="5" max="6" width="14.42578125" style="29" customWidth="1"/>
    <col min="7" max="7" width="2.28515625" style="29" customWidth="1"/>
    <col min="8" max="8" width="17.85546875" style="29" customWidth="1"/>
    <col min="9" max="16384" width="9.140625" style="29"/>
  </cols>
  <sheetData>
    <row r="1" spans="1:8" ht="21" customHeight="1" x14ac:dyDescent="0.2">
      <c r="A1" s="308" t="s">
        <v>66</v>
      </c>
      <c r="B1" s="308" t="s">
        <v>67</v>
      </c>
      <c r="C1" s="308" t="s">
        <v>47</v>
      </c>
      <c r="D1" s="28"/>
      <c r="E1" s="316" t="s">
        <v>214</v>
      </c>
      <c r="F1" s="317"/>
      <c r="G1" s="108"/>
      <c r="H1" s="306" t="s">
        <v>217</v>
      </c>
    </row>
    <row r="2" spans="1:8" ht="21" customHeight="1" x14ac:dyDescent="0.2">
      <c r="A2" s="309"/>
      <c r="B2" s="309"/>
      <c r="C2" s="309"/>
      <c r="D2" s="28"/>
      <c r="E2" s="106" t="s">
        <v>215</v>
      </c>
      <c r="F2" s="106" t="s">
        <v>216</v>
      </c>
      <c r="G2" s="108"/>
      <c r="H2" s="307"/>
    </row>
    <row r="3" spans="1:8" ht="21" customHeight="1" x14ac:dyDescent="0.2">
      <c r="A3" s="310" t="s">
        <v>98</v>
      </c>
      <c r="B3" s="313" t="s">
        <v>68</v>
      </c>
      <c r="C3" s="30" t="s">
        <v>69</v>
      </c>
      <c r="D3" s="31"/>
      <c r="E3" s="32">
        <v>17734.170000000002</v>
      </c>
      <c r="F3" s="32">
        <f>E3/12</f>
        <v>1477.8475000000001</v>
      </c>
      <c r="H3" s="32"/>
    </row>
    <row r="4" spans="1:8" ht="21" customHeight="1" x14ac:dyDescent="0.2">
      <c r="A4" s="311"/>
      <c r="B4" s="314"/>
      <c r="C4" s="33" t="s">
        <v>70</v>
      </c>
      <c r="D4" s="31"/>
      <c r="E4" s="32">
        <v>17973.11</v>
      </c>
      <c r="F4" s="32">
        <f t="shared" ref="F4:F29" si="0">E4/12</f>
        <v>1497.7591666666667</v>
      </c>
      <c r="G4" s="109"/>
      <c r="H4" s="32"/>
    </row>
    <row r="5" spans="1:8" ht="21" customHeight="1" x14ac:dyDescent="0.2">
      <c r="A5" s="311"/>
      <c r="B5" s="314"/>
      <c r="C5" s="33" t="s">
        <v>71</v>
      </c>
      <c r="D5" s="31"/>
      <c r="E5" s="32">
        <v>18353.759999999998</v>
      </c>
      <c r="F5" s="32">
        <f t="shared" si="0"/>
        <v>1529.4799999999998</v>
      </c>
      <c r="H5" s="32"/>
    </row>
    <row r="6" spans="1:8" ht="21" customHeight="1" x14ac:dyDescent="0.2">
      <c r="A6" s="311"/>
      <c r="B6" s="314"/>
      <c r="C6" s="33" t="s">
        <v>72</v>
      </c>
      <c r="D6" s="31"/>
      <c r="E6" s="32">
        <v>18679.740000000002</v>
      </c>
      <c r="F6" s="32">
        <f t="shared" si="0"/>
        <v>1556.6450000000002</v>
      </c>
      <c r="H6" s="32"/>
    </row>
    <row r="7" spans="1:8" ht="21" customHeight="1" x14ac:dyDescent="0.2">
      <c r="A7" s="311"/>
      <c r="B7" s="314"/>
      <c r="C7" s="33" t="s">
        <v>73</v>
      </c>
      <c r="D7" s="31"/>
      <c r="E7" s="32">
        <v>19066.77</v>
      </c>
      <c r="F7" s="32">
        <f t="shared" si="0"/>
        <v>1588.8975</v>
      </c>
      <c r="H7" s="32"/>
    </row>
    <row r="8" spans="1:8" ht="21" customHeight="1" x14ac:dyDescent="0.2">
      <c r="A8" s="311"/>
      <c r="B8" s="315"/>
      <c r="C8" s="33" t="s">
        <v>74</v>
      </c>
      <c r="D8" s="31"/>
      <c r="E8" s="34">
        <v>19676.93</v>
      </c>
      <c r="F8" s="34">
        <f t="shared" si="0"/>
        <v>1639.7441666666666</v>
      </c>
      <c r="H8" s="34"/>
    </row>
    <row r="9" spans="1:8" ht="21" customHeight="1" x14ac:dyDescent="0.2">
      <c r="A9" s="311"/>
      <c r="B9" s="313" t="s">
        <v>75</v>
      </c>
      <c r="C9" s="30" t="s">
        <v>76</v>
      </c>
      <c r="D9" s="31"/>
      <c r="E9" s="35">
        <v>18745.669999999998</v>
      </c>
      <c r="F9" s="35">
        <f t="shared" si="0"/>
        <v>1562.1391666666666</v>
      </c>
      <c r="H9" s="35"/>
    </row>
    <row r="10" spans="1:8" ht="21" customHeight="1" x14ac:dyDescent="0.2">
      <c r="A10" s="311"/>
      <c r="B10" s="314"/>
      <c r="C10" s="33" t="s">
        <v>77</v>
      </c>
      <c r="D10" s="31"/>
      <c r="E10" s="32">
        <v>19057.53</v>
      </c>
      <c r="F10" s="32">
        <f t="shared" si="0"/>
        <v>1588.1274999999998</v>
      </c>
      <c r="H10" s="32"/>
    </row>
    <row r="11" spans="1:8" ht="21" customHeight="1" x14ac:dyDescent="0.2">
      <c r="A11" s="311"/>
      <c r="B11" s="314"/>
      <c r="C11" s="33" t="s">
        <v>78</v>
      </c>
      <c r="D11" s="31"/>
      <c r="E11" s="32">
        <v>19816.2</v>
      </c>
      <c r="F11" s="32">
        <f t="shared" si="0"/>
        <v>1651.3500000000001</v>
      </c>
      <c r="H11" s="32">
        <f>E11-E9</f>
        <v>1070.5300000000025</v>
      </c>
    </row>
    <row r="12" spans="1:8" ht="21" customHeight="1" x14ac:dyDescent="0.2">
      <c r="A12" s="311"/>
      <c r="B12" s="314"/>
      <c r="C12" s="33" t="s">
        <v>79</v>
      </c>
      <c r="D12" s="36"/>
      <c r="E12" s="32">
        <v>20107.730000000003</v>
      </c>
      <c r="F12" s="32">
        <f t="shared" si="0"/>
        <v>1675.6441666666669</v>
      </c>
      <c r="H12" s="32"/>
    </row>
    <row r="13" spans="1:8" ht="21" customHeight="1" x14ac:dyDescent="0.2">
      <c r="A13" s="311"/>
      <c r="B13" s="314"/>
      <c r="C13" s="33" t="s">
        <v>80</v>
      </c>
      <c r="D13" s="31"/>
      <c r="E13" s="32">
        <v>20446.310000000001</v>
      </c>
      <c r="F13" s="32">
        <f t="shared" si="0"/>
        <v>1703.8591666666669</v>
      </c>
      <c r="H13" s="32"/>
    </row>
    <row r="14" spans="1:8" ht="21" customHeight="1" x14ac:dyDescent="0.2">
      <c r="A14" s="311"/>
      <c r="B14" s="314"/>
      <c r="C14" s="33" t="s">
        <v>81</v>
      </c>
      <c r="D14" s="36"/>
      <c r="E14" s="32">
        <v>20809.900000000001</v>
      </c>
      <c r="F14" s="32">
        <f t="shared" si="0"/>
        <v>1734.1583333333335</v>
      </c>
      <c r="H14" s="32"/>
    </row>
    <row r="15" spans="1:8" ht="21" customHeight="1" x14ac:dyDescent="0.2">
      <c r="A15" s="311"/>
      <c r="B15" s="314"/>
      <c r="C15" s="33" t="s">
        <v>82</v>
      </c>
      <c r="D15" s="31"/>
      <c r="E15" s="32">
        <v>21609.040000000001</v>
      </c>
      <c r="F15" s="32">
        <f t="shared" si="0"/>
        <v>1800.7533333333333</v>
      </c>
      <c r="H15" s="32"/>
    </row>
    <row r="16" spans="1:8" ht="21" customHeight="1" x14ac:dyDescent="0.2">
      <c r="A16" s="311"/>
      <c r="B16" s="315"/>
      <c r="C16" s="33" t="s">
        <v>83</v>
      </c>
      <c r="D16" s="31"/>
      <c r="E16" s="34">
        <v>22322.36</v>
      </c>
      <c r="F16" s="34">
        <f t="shared" si="0"/>
        <v>1860.1966666666667</v>
      </c>
      <c r="H16" s="34"/>
    </row>
    <row r="17" spans="1:8" ht="21" customHeight="1" x14ac:dyDescent="0.2">
      <c r="A17" s="311"/>
      <c r="B17" s="313" t="s">
        <v>55</v>
      </c>
      <c r="C17" s="30" t="s">
        <v>84</v>
      </c>
      <c r="D17" s="36"/>
      <c r="E17" s="35">
        <v>21146.87</v>
      </c>
      <c r="F17" s="35">
        <f t="shared" si="0"/>
        <v>1762.2391666666665</v>
      </c>
      <c r="H17" s="35"/>
    </row>
    <row r="18" spans="1:8" ht="21" customHeight="1" x14ac:dyDescent="0.2">
      <c r="A18" s="311"/>
      <c r="B18" s="314"/>
      <c r="C18" s="33" t="s">
        <v>85</v>
      </c>
      <c r="D18" s="36"/>
      <c r="E18" s="32">
        <v>21651.260000000002</v>
      </c>
      <c r="F18" s="32">
        <f t="shared" si="0"/>
        <v>1804.2716666666668</v>
      </c>
      <c r="H18" s="32"/>
    </row>
    <row r="19" spans="1:8" ht="21" customHeight="1" x14ac:dyDescent="0.2">
      <c r="A19" s="311"/>
      <c r="B19" s="314"/>
      <c r="C19" s="33" t="s">
        <v>86</v>
      </c>
      <c r="D19" s="36"/>
      <c r="E19" s="32">
        <v>22255.819999999996</v>
      </c>
      <c r="F19" s="32">
        <f t="shared" si="0"/>
        <v>1854.6516666666664</v>
      </c>
      <c r="H19" s="32"/>
    </row>
    <row r="20" spans="1:8" ht="21" customHeight="1" x14ac:dyDescent="0.2">
      <c r="A20" s="311"/>
      <c r="B20" s="314"/>
      <c r="C20" s="33" t="s">
        <v>87</v>
      </c>
      <c r="D20" s="36"/>
      <c r="E20" s="32">
        <v>22958.510000000002</v>
      </c>
      <c r="F20" s="32">
        <f t="shared" si="0"/>
        <v>1913.2091666666668</v>
      </c>
      <c r="H20" s="32"/>
    </row>
    <row r="21" spans="1:8" ht="21" customHeight="1" x14ac:dyDescent="0.2">
      <c r="A21" s="311"/>
      <c r="B21" s="314"/>
      <c r="C21" s="33" t="s">
        <v>88</v>
      </c>
      <c r="D21" s="31"/>
      <c r="E21" s="32">
        <v>23807.999999999996</v>
      </c>
      <c r="F21" s="32">
        <f t="shared" si="0"/>
        <v>1983.9999999999998</v>
      </c>
      <c r="H21" s="32"/>
    </row>
    <row r="22" spans="1:8" ht="21" customHeight="1" x14ac:dyDescent="0.2">
      <c r="A22" s="311"/>
      <c r="B22" s="315"/>
      <c r="C22" s="33" t="s">
        <v>89</v>
      </c>
      <c r="D22" s="31"/>
      <c r="E22" s="34">
        <v>24655</v>
      </c>
      <c r="F22" s="34">
        <f t="shared" si="0"/>
        <v>2054.5833333333335</v>
      </c>
      <c r="H22" s="34"/>
    </row>
    <row r="23" spans="1:8" ht="21" customHeight="1" x14ac:dyDescent="0.2">
      <c r="A23" s="311"/>
      <c r="B23" s="313" t="s">
        <v>90</v>
      </c>
      <c r="C23" s="30" t="s">
        <v>91</v>
      </c>
      <c r="D23" s="36"/>
      <c r="E23" s="35">
        <v>23009.069999999996</v>
      </c>
      <c r="F23" s="35">
        <f t="shared" si="0"/>
        <v>1917.4224999999997</v>
      </c>
      <c r="H23" s="35"/>
    </row>
    <row r="24" spans="1:8" ht="21" customHeight="1" x14ac:dyDescent="0.2">
      <c r="A24" s="311"/>
      <c r="B24" s="314"/>
      <c r="C24" s="33" t="s">
        <v>92</v>
      </c>
      <c r="D24" s="36"/>
      <c r="E24" s="32">
        <v>24136.85</v>
      </c>
      <c r="F24" s="32">
        <f t="shared" si="0"/>
        <v>2011.4041666666665</v>
      </c>
      <c r="H24" s="32"/>
    </row>
    <row r="25" spans="1:8" ht="21" customHeight="1" x14ac:dyDescent="0.2">
      <c r="A25" s="311"/>
      <c r="B25" s="314"/>
      <c r="C25" s="33" t="s">
        <v>93</v>
      </c>
      <c r="D25" s="36"/>
      <c r="E25" s="32">
        <v>26457.46</v>
      </c>
      <c r="F25" s="32">
        <f t="shared" si="0"/>
        <v>2204.7883333333334</v>
      </c>
      <c r="H25" s="32">
        <f>E25-E23</f>
        <v>3448.3900000000031</v>
      </c>
    </row>
    <row r="26" spans="1:8" ht="21" customHeight="1" x14ac:dyDescent="0.2">
      <c r="A26" s="311"/>
      <c r="B26" s="314"/>
      <c r="C26" s="33" t="s">
        <v>94</v>
      </c>
      <c r="D26" s="36"/>
      <c r="E26" s="32">
        <v>27586.479999999996</v>
      </c>
      <c r="F26" s="32">
        <f t="shared" si="0"/>
        <v>2298.873333333333</v>
      </c>
      <c r="H26" s="32"/>
    </row>
    <row r="27" spans="1:8" ht="21" customHeight="1" x14ac:dyDescent="0.2">
      <c r="A27" s="311"/>
      <c r="B27" s="314"/>
      <c r="C27" s="33" t="s">
        <v>95</v>
      </c>
      <c r="D27" s="36"/>
      <c r="E27" s="32">
        <v>28818.100000000002</v>
      </c>
      <c r="F27" s="32">
        <f t="shared" si="0"/>
        <v>2401.5083333333337</v>
      </c>
      <c r="H27" s="32"/>
    </row>
    <row r="28" spans="1:8" ht="21" customHeight="1" x14ac:dyDescent="0.2">
      <c r="A28" s="311"/>
      <c r="B28" s="314"/>
      <c r="C28" s="33" t="s">
        <v>96</v>
      </c>
      <c r="D28" s="36"/>
      <c r="E28" s="32">
        <v>30808.84</v>
      </c>
      <c r="F28" s="32">
        <f t="shared" si="0"/>
        <v>2567.4033333333332</v>
      </c>
      <c r="H28" s="32"/>
    </row>
    <row r="29" spans="1:8" ht="21" customHeight="1" x14ac:dyDescent="0.2">
      <c r="A29" s="312"/>
      <c r="B29" s="315"/>
      <c r="C29" s="37" t="s">
        <v>97</v>
      </c>
      <c r="D29" s="31"/>
      <c r="E29" s="34">
        <v>32390.2</v>
      </c>
      <c r="F29" s="34">
        <f t="shared" si="0"/>
        <v>2699.1833333333334</v>
      </c>
      <c r="H29" s="34"/>
    </row>
    <row r="31" spans="1:8" ht="21" customHeight="1" x14ac:dyDescent="0.2">
      <c r="A31" s="308" t="s">
        <v>66</v>
      </c>
      <c r="B31" s="308" t="s">
        <v>67</v>
      </c>
      <c r="C31" s="308" t="s">
        <v>47</v>
      </c>
      <c r="D31" s="28"/>
      <c r="E31" s="320" t="s">
        <v>218</v>
      </c>
      <c r="F31" s="321"/>
      <c r="G31" s="108"/>
      <c r="H31" s="318" t="s">
        <v>219</v>
      </c>
    </row>
    <row r="32" spans="1:8" ht="21" customHeight="1" x14ac:dyDescent="0.2">
      <c r="A32" s="309"/>
      <c r="B32" s="309"/>
      <c r="C32" s="309"/>
      <c r="D32" s="28"/>
      <c r="E32" s="107" t="s">
        <v>215</v>
      </c>
      <c r="F32" s="107" t="s">
        <v>216</v>
      </c>
      <c r="G32" s="108"/>
      <c r="H32" s="319"/>
    </row>
    <row r="33" spans="1:8" ht="21" customHeight="1" x14ac:dyDescent="0.2">
      <c r="A33" s="310" t="s">
        <v>98</v>
      </c>
      <c r="B33" s="313" t="s">
        <v>68</v>
      </c>
      <c r="C33" s="30" t="s">
        <v>69</v>
      </c>
      <c r="D33" s="31"/>
      <c r="E33" s="32">
        <v>18044.370000000003</v>
      </c>
      <c r="F33" s="32">
        <f>E33/12</f>
        <v>1503.6975000000002</v>
      </c>
      <c r="H33" s="32"/>
    </row>
    <row r="34" spans="1:8" ht="21" customHeight="1" x14ac:dyDescent="0.2">
      <c r="A34" s="311"/>
      <c r="B34" s="314"/>
      <c r="C34" s="33" t="s">
        <v>70</v>
      </c>
      <c r="D34" s="31"/>
      <c r="E34" s="32">
        <v>18283.310000000001</v>
      </c>
      <c r="F34" s="32">
        <f t="shared" ref="F34:F59" si="1">E34/12</f>
        <v>1523.6091666666669</v>
      </c>
      <c r="G34" s="109"/>
      <c r="H34" s="32">
        <f>F34-$F$33</f>
        <v>19.911666666666633</v>
      </c>
    </row>
    <row r="35" spans="1:8" ht="21" customHeight="1" x14ac:dyDescent="0.2">
      <c r="A35" s="311"/>
      <c r="B35" s="314"/>
      <c r="C35" s="33" t="s">
        <v>71</v>
      </c>
      <c r="D35" s="31"/>
      <c r="E35" s="32">
        <v>18653.28</v>
      </c>
      <c r="F35" s="32">
        <f t="shared" si="1"/>
        <v>1554.4399999999998</v>
      </c>
      <c r="H35" s="32">
        <f t="shared" ref="H35:H38" si="2">F35-$F$33</f>
        <v>50.742499999999609</v>
      </c>
    </row>
    <row r="36" spans="1:8" ht="21" customHeight="1" x14ac:dyDescent="0.2">
      <c r="A36" s="311"/>
      <c r="B36" s="314"/>
      <c r="C36" s="33" t="s">
        <v>72</v>
      </c>
      <c r="D36" s="31"/>
      <c r="E36" s="32">
        <v>18968.260000000002</v>
      </c>
      <c r="F36" s="32">
        <f t="shared" si="1"/>
        <v>1580.6883333333335</v>
      </c>
      <c r="H36" s="32">
        <f t="shared" si="2"/>
        <v>76.990833333333285</v>
      </c>
    </row>
    <row r="37" spans="1:8" ht="21" customHeight="1" x14ac:dyDescent="0.2">
      <c r="A37" s="311"/>
      <c r="B37" s="314"/>
      <c r="C37" s="33" t="s">
        <v>73</v>
      </c>
      <c r="D37" s="31"/>
      <c r="E37" s="32">
        <v>19344.93</v>
      </c>
      <c r="F37" s="32">
        <f t="shared" si="1"/>
        <v>1612.0775000000001</v>
      </c>
      <c r="H37" s="32">
        <f t="shared" si="2"/>
        <v>108.37999999999988</v>
      </c>
    </row>
    <row r="38" spans="1:8" ht="21" customHeight="1" x14ac:dyDescent="0.2">
      <c r="A38" s="311"/>
      <c r="B38" s="315"/>
      <c r="C38" s="33" t="s">
        <v>74</v>
      </c>
      <c r="D38" s="31"/>
      <c r="E38" s="34">
        <v>19676.93</v>
      </c>
      <c r="F38" s="34">
        <f t="shared" si="1"/>
        <v>1639.7441666666666</v>
      </c>
      <c r="H38" s="34">
        <f t="shared" si="2"/>
        <v>136.0466666666664</v>
      </c>
    </row>
    <row r="39" spans="1:8" ht="21" customHeight="1" x14ac:dyDescent="0.2">
      <c r="A39" s="311"/>
      <c r="B39" s="313" t="s">
        <v>75</v>
      </c>
      <c r="C39" s="30" t="s">
        <v>76</v>
      </c>
      <c r="D39" s="31"/>
      <c r="E39" s="35">
        <v>19034.509999999998</v>
      </c>
      <c r="F39" s="35">
        <f t="shared" si="1"/>
        <v>1586.2091666666665</v>
      </c>
      <c r="H39" s="35"/>
    </row>
    <row r="40" spans="1:8" ht="21" customHeight="1" x14ac:dyDescent="0.2">
      <c r="A40" s="311"/>
      <c r="B40" s="314"/>
      <c r="C40" s="33" t="s">
        <v>77</v>
      </c>
      <c r="D40" s="31"/>
      <c r="E40" s="32">
        <v>19335.689999999999</v>
      </c>
      <c r="F40" s="32">
        <f t="shared" si="1"/>
        <v>1611.3074999999999</v>
      </c>
      <c r="H40" s="32">
        <f>F40-$F$39</f>
        <v>25.098333333333358</v>
      </c>
    </row>
    <row r="41" spans="1:8" ht="21" customHeight="1" x14ac:dyDescent="0.2">
      <c r="A41" s="311"/>
      <c r="B41" s="314"/>
      <c r="C41" s="33" t="s">
        <v>78</v>
      </c>
      <c r="D41" s="31"/>
      <c r="E41" s="32">
        <v>20072.88</v>
      </c>
      <c r="F41" s="32">
        <f t="shared" si="1"/>
        <v>1672.74</v>
      </c>
      <c r="H41" s="32">
        <f t="shared" ref="H41:H46" si="3">F41-$F$39</f>
        <v>86.530833333333476</v>
      </c>
    </row>
    <row r="42" spans="1:8" ht="21" customHeight="1" x14ac:dyDescent="0.2">
      <c r="A42" s="311"/>
      <c r="B42" s="314"/>
      <c r="C42" s="33" t="s">
        <v>79</v>
      </c>
      <c r="D42" s="36"/>
      <c r="E42" s="32">
        <v>20364.410000000003</v>
      </c>
      <c r="F42" s="32">
        <f t="shared" si="1"/>
        <v>1697.034166666667</v>
      </c>
      <c r="H42" s="32">
        <f t="shared" si="3"/>
        <v>110.8250000000005</v>
      </c>
    </row>
    <row r="43" spans="1:8" ht="21" customHeight="1" x14ac:dyDescent="0.2">
      <c r="A43" s="311"/>
      <c r="B43" s="314"/>
      <c r="C43" s="33" t="s">
        <v>80</v>
      </c>
      <c r="D43" s="31"/>
      <c r="E43" s="32">
        <v>20692.310000000001</v>
      </c>
      <c r="F43" s="32">
        <f t="shared" si="1"/>
        <v>1724.3591666666669</v>
      </c>
      <c r="H43" s="32">
        <f>F43-$F$39</f>
        <v>138.15000000000032</v>
      </c>
    </row>
    <row r="44" spans="1:8" ht="21" customHeight="1" x14ac:dyDescent="0.2">
      <c r="A44" s="311"/>
      <c r="B44" s="314"/>
      <c r="C44" s="33" t="s">
        <v>81</v>
      </c>
      <c r="D44" s="36"/>
      <c r="E44" s="32">
        <v>21055.9</v>
      </c>
      <c r="F44" s="32">
        <f t="shared" si="1"/>
        <v>1754.6583333333335</v>
      </c>
      <c r="H44" s="32">
        <f t="shared" si="3"/>
        <v>168.449166666667</v>
      </c>
    </row>
    <row r="45" spans="1:8" ht="21" customHeight="1" x14ac:dyDescent="0.2">
      <c r="A45" s="311"/>
      <c r="B45" s="314"/>
      <c r="C45" s="33" t="s">
        <v>82</v>
      </c>
      <c r="D45" s="31"/>
      <c r="E45" s="32">
        <v>21844.36</v>
      </c>
      <c r="F45" s="32">
        <f t="shared" si="1"/>
        <v>1820.3633333333335</v>
      </c>
      <c r="H45" s="32">
        <f>F45-$F$39</f>
        <v>234.15416666666692</v>
      </c>
    </row>
    <row r="46" spans="1:8" ht="21" customHeight="1" x14ac:dyDescent="0.2">
      <c r="A46" s="311"/>
      <c r="B46" s="315"/>
      <c r="C46" s="33" t="s">
        <v>83</v>
      </c>
      <c r="D46" s="31"/>
      <c r="E46" s="34">
        <v>22322.36</v>
      </c>
      <c r="F46" s="34">
        <f t="shared" si="1"/>
        <v>1860.1966666666667</v>
      </c>
      <c r="H46" s="34">
        <f t="shared" si="3"/>
        <v>273.98750000000018</v>
      </c>
    </row>
    <row r="47" spans="1:8" ht="21" customHeight="1" x14ac:dyDescent="0.2">
      <c r="A47" s="311"/>
      <c r="B47" s="313" t="s">
        <v>55</v>
      </c>
      <c r="C47" s="30" t="s">
        <v>84</v>
      </c>
      <c r="D47" s="36"/>
      <c r="E47" s="35">
        <v>21392.87</v>
      </c>
      <c r="F47" s="35">
        <f t="shared" si="1"/>
        <v>1782.7391666666665</v>
      </c>
      <c r="H47" s="35"/>
    </row>
    <row r="48" spans="1:8" ht="21" customHeight="1" x14ac:dyDescent="0.2">
      <c r="A48" s="311"/>
      <c r="B48" s="314"/>
      <c r="C48" s="33" t="s">
        <v>85</v>
      </c>
      <c r="D48" s="36"/>
      <c r="E48" s="32">
        <v>21886.58</v>
      </c>
      <c r="F48" s="32">
        <f t="shared" si="1"/>
        <v>1823.8816666666669</v>
      </c>
      <c r="H48" s="32">
        <f>F48-$F$47</f>
        <v>41.142500000000382</v>
      </c>
    </row>
    <row r="49" spans="1:8" ht="21" customHeight="1" x14ac:dyDescent="0.2">
      <c r="A49" s="311"/>
      <c r="B49" s="314"/>
      <c r="C49" s="33" t="s">
        <v>86</v>
      </c>
      <c r="D49" s="36"/>
      <c r="E49" s="32">
        <v>22469.779999999995</v>
      </c>
      <c r="F49" s="32">
        <f t="shared" si="1"/>
        <v>1872.4816666666663</v>
      </c>
      <c r="H49" s="32">
        <f t="shared" ref="H49:H52" si="4">F49-$F$47</f>
        <v>89.742499999999836</v>
      </c>
    </row>
    <row r="50" spans="1:8" ht="21" customHeight="1" x14ac:dyDescent="0.2">
      <c r="A50" s="311"/>
      <c r="B50" s="314"/>
      <c r="C50" s="33" t="s">
        <v>87</v>
      </c>
      <c r="D50" s="36"/>
      <c r="E50" s="32">
        <v>23151.11</v>
      </c>
      <c r="F50" s="32">
        <f t="shared" si="1"/>
        <v>1929.2591666666667</v>
      </c>
      <c r="H50" s="32">
        <f t="shared" si="4"/>
        <v>146.52000000000021</v>
      </c>
    </row>
    <row r="51" spans="1:8" ht="21" customHeight="1" x14ac:dyDescent="0.2">
      <c r="A51" s="311"/>
      <c r="B51" s="314"/>
      <c r="C51" s="33" t="s">
        <v>88</v>
      </c>
      <c r="D51" s="31"/>
      <c r="E51" s="32">
        <v>23989.799999999996</v>
      </c>
      <c r="F51" s="32">
        <f t="shared" si="1"/>
        <v>1999.1499999999996</v>
      </c>
      <c r="H51" s="32">
        <f t="shared" si="4"/>
        <v>216.41083333333313</v>
      </c>
    </row>
    <row r="52" spans="1:8" ht="21" customHeight="1" x14ac:dyDescent="0.2">
      <c r="A52" s="311"/>
      <c r="B52" s="315"/>
      <c r="C52" s="33" t="s">
        <v>89</v>
      </c>
      <c r="D52" s="31"/>
      <c r="E52" s="34">
        <v>24655</v>
      </c>
      <c r="F52" s="34">
        <f t="shared" si="1"/>
        <v>2054.5833333333335</v>
      </c>
      <c r="H52" s="34">
        <f t="shared" si="4"/>
        <v>271.84416666666698</v>
      </c>
    </row>
    <row r="53" spans="1:8" ht="21" customHeight="1" x14ac:dyDescent="0.2">
      <c r="A53" s="311"/>
      <c r="B53" s="313" t="s">
        <v>90</v>
      </c>
      <c r="C53" s="30" t="s">
        <v>91</v>
      </c>
      <c r="D53" s="36"/>
      <c r="E53" s="35">
        <v>23212.349999999995</v>
      </c>
      <c r="F53" s="35">
        <f t="shared" si="1"/>
        <v>1934.3624999999995</v>
      </c>
      <c r="H53" s="35"/>
    </row>
    <row r="54" spans="1:8" ht="21" customHeight="1" x14ac:dyDescent="0.2">
      <c r="A54" s="311"/>
      <c r="B54" s="314"/>
      <c r="C54" s="33" t="s">
        <v>92</v>
      </c>
      <c r="D54" s="36"/>
      <c r="E54" s="32">
        <v>24307.969999999998</v>
      </c>
      <c r="F54" s="32">
        <f t="shared" si="1"/>
        <v>2025.6641666666665</v>
      </c>
      <c r="H54" s="32">
        <f>F54-$F$53</f>
        <v>91.301666666666961</v>
      </c>
    </row>
    <row r="55" spans="1:8" ht="21" customHeight="1" x14ac:dyDescent="0.2">
      <c r="A55" s="311"/>
      <c r="B55" s="314"/>
      <c r="C55" s="33" t="s">
        <v>93</v>
      </c>
      <c r="D55" s="36"/>
      <c r="E55" s="32">
        <v>26553.7</v>
      </c>
      <c r="F55" s="32">
        <f t="shared" si="1"/>
        <v>2212.8083333333334</v>
      </c>
      <c r="H55" s="32">
        <f t="shared" ref="H55:H59" si="5">F55-$F$53</f>
        <v>278.44583333333389</v>
      </c>
    </row>
    <row r="56" spans="1:8" ht="21" customHeight="1" x14ac:dyDescent="0.2">
      <c r="A56" s="311"/>
      <c r="B56" s="314"/>
      <c r="C56" s="33" t="s">
        <v>94</v>
      </c>
      <c r="D56" s="36"/>
      <c r="E56" s="32">
        <v>27650.679999999997</v>
      </c>
      <c r="F56" s="32">
        <f t="shared" si="1"/>
        <v>2304.2233333333329</v>
      </c>
      <c r="H56" s="32">
        <f t="shared" si="5"/>
        <v>369.8608333333334</v>
      </c>
    </row>
    <row r="57" spans="1:8" ht="21" customHeight="1" x14ac:dyDescent="0.2">
      <c r="A57" s="311"/>
      <c r="B57" s="314"/>
      <c r="C57" s="33" t="s">
        <v>95</v>
      </c>
      <c r="D57" s="36"/>
      <c r="E57" s="32">
        <v>28839.460000000003</v>
      </c>
      <c r="F57" s="32">
        <f t="shared" si="1"/>
        <v>2403.2883333333334</v>
      </c>
      <c r="H57" s="32">
        <f t="shared" si="5"/>
        <v>468.92583333333391</v>
      </c>
    </row>
    <row r="58" spans="1:8" ht="21" customHeight="1" x14ac:dyDescent="0.2">
      <c r="A58" s="311"/>
      <c r="B58" s="314"/>
      <c r="C58" s="33" t="s">
        <v>96</v>
      </c>
      <c r="D58" s="36"/>
      <c r="E58" s="32">
        <v>30830.2</v>
      </c>
      <c r="F58" s="32">
        <f t="shared" si="1"/>
        <v>2569.1833333333334</v>
      </c>
      <c r="H58" s="32">
        <f t="shared" si="5"/>
        <v>634.82083333333389</v>
      </c>
    </row>
    <row r="59" spans="1:8" ht="21" customHeight="1" x14ac:dyDescent="0.2">
      <c r="A59" s="312"/>
      <c r="B59" s="315"/>
      <c r="C59" s="37" t="s">
        <v>97</v>
      </c>
      <c r="D59" s="31"/>
      <c r="E59" s="34">
        <v>32390.2</v>
      </c>
      <c r="F59" s="34">
        <f t="shared" si="1"/>
        <v>2699.1833333333334</v>
      </c>
      <c r="H59" s="34">
        <f t="shared" si="5"/>
        <v>764.82083333333389</v>
      </c>
    </row>
  </sheetData>
  <mergeCells count="20">
    <mergeCell ref="H31:H32"/>
    <mergeCell ref="A33:A59"/>
    <mergeCell ref="B33:B38"/>
    <mergeCell ref="B39:B46"/>
    <mergeCell ref="B47:B52"/>
    <mergeCell ref="B53:B59"/>
    <mergeCell ref="A31:A32"/>
    <mergeCell ref="B31:B32"/>
    <mergeCell ref="C31:C32"/>
    <mergeCell ref="E31:F31"/>
    <mergeCell ref="H1:H2"/>
    <mergeCell ref="A1:A2"/>
    <mergeCell ref="B1:B2"/>
    <mergeCell ref="C1:C2"/>
    <mergeCell ref="A3:A29"/>
    <mergeCell ref="B3:B8"/>
    <mergeCell ref="B9:B16"/>
    <mergeCell ref="B17:B22"/>
    <mergeCell ref="B23:B29"/>
    <mergeCell ref="E1:F1"/>
  </mergeCells>
  <pageMargins left="0.7" right="0.7" top="0.75" bottom="0.75" header="0.3" footer="0.3"/>
  <pageSetup paperSize="9" orientation="portrait" horizontalDpi="1200" verticalDpi="1200"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3"/>
  <sheetViews>
    <sheetView zoomScale="120" zoomScaleNormal="120" workbookViewId="0">
      <pane ySplit="2" topLeftCell="A3" activePane="bottomLeft" state="frozen"/>
      <selection pane="bottomLeft" sqref="A1:XFD1048576"/>
    </sheetView>
  </sheetViews>
  <sheetFormatPr defaultRowHeight="12.75" x14ac:dyDescent="0.2"/>
  <cols>
    <col min="1" max="1" width="3.7109375" style="1" customWidth="1"/>
    <col min="2" max="3" width="4.85546875" style="24" customWidth="1"/>
    <col min="4" max="4" width="21" customWidth="1"/>
    <col min="5" max="5" width="2.140625" customWidth="1"/>
    <col min="6" max="7" width="4.85546875" style="24" customWidth="1"/>
    <col min="8" max="8" width="21" customWidth="1"/>
    <col min="9" max="9" width="2.140625" customWidth="1"/>
    <col min="10" max="11" width="4.85546875" style="24" customWidth="1"/>
    <col min="12" max="12" width="21" customWidth="1"/>
    <col min="13" max="13" width="2.140625" customWidth="1"/>
    <col min="14" max="15" width="4.85546875" style="24" customWidth="1"/>
    <col min="16" max="16" width="21" customWidth="1"/>
    <col min="17" max="17" width="2.140625" customWidth="1"/>
    <col min="18" max="18" width="11.28515625" customWidth="1"/>
  </cols>
  <sheetData>
    <row r="1" spans="1:16" s="40" customFormat="1" ht="38.25" customHeight="1" x14ac:dyDescent="0.2">
      <c r="A1" s="332" t="s">
        <v>258</v>
      </c>
      <c r="B1" s="331" t="s">
        <v>130</v>
      </c>
      <c r="C1" s="331"/>
      <c r="D1" s="331"/>
      <c r="F1" s="328" t="s">
        <v>100</v>
      </c>
      <c r="G1" s="328"/>
      <c r="H1" s="328"/>
      <c r="J1" s="329" t="s">
        <v>101</v>
      </c>
      <c r="K1" s="329"/>
      <c r="L1" s="329"/>
      <c r="N1" s="330" t="s">
        <v>102</v>
      </c>
      <c r="O1" s="330"/>
      <c r="P1" s="330"/>
    </row>
    <row r="2" spans="1:16" ht="38.25" customHeight="1" x14ac:dyDescent="0.2">
      <c r="A2" s="332"/>
      <c r="B2" s="110" t="s">
        <v>59</v>
      </c>
      <c r="C2" s="110" t="s">
        <v>60</v>
      </c>
      <c r="D2" s="111" t="s">
        <v>129</v>
      </c>
      <c r="F2" s="39" t="s">
        <v>59</v>
      </c>
      <c r="G2" s="39" t="s">
        <v>60</v>
      </c>
      <c r="H2" s="25" t="s">
        <v>61</v>
      </c>
      <c r="J2" s="41" t="s">
        <v>59</v>
      </c>
      <c r="K2" s="41" t="s">
        <v>60</v>
      </c>
      <c r="L2" s="26" t="s">
        <v>62</v>
      </c>
      <c r="N2" s="38" t="s">
        <v>59</v>
      </c>
      <c r="O2" s="38" t="s">
        <v>60</v>
      </c>
      <c r="P2" s="27" t="s">
        <v>63</v>
      </c>
    </row>
    <row r="3" spans="1:16" s="23" customFormat="1" ht="21" customHeight="1" x14ac:dyDescent="0.25">
      <c r="A3" s="1"/>
      <c r="B3" s="136"/>
      <c r="C3" s="136"/>
      <c r="D3" s="137"/>
      <c r="F3" s="136"/>
      <c r="G3" s="136"/>
      <c r="H3" s="137"/>
      <c r="J3" s="136"/>
      <c r="K3" s="136"/>
      <c r="L3" s="137"/>
      <c r="N3" s="136"/>
      <c r="O3" s="136"/>
      <c r="P3" s="137"/>
    </row>
    <row r="4" spans="1:16" s="23" customFormat="1" ht="21" customHeight="1" x14ac:dyDescent="0.25">
      <c r="A4" s="325" t="s">
        <v>68</v>
      </c>
      <c r="B4" s="138" t="s">
        <v>20</v>
      </c>
      <c r="C4" s="139" t="s">
        <v>20</v>
      </c>
      <c r="D4" s="140" t="s">
        <v>201</v>
      </c>
      <c r="E4" s="141"/>
      <c r="F4" s="139" t="str">
        <f>B4</f>
        <v>A1</v>
      </c>
      <c r="G4" s="139" t="s">
        <v>21</v>
      </c>
      <c r="H4" s="140" t="str">
        <f>D4</f>
        <v>Barbarisi Gaetano</v>
      </c>
      <c r="I4" s="141"/>
      <c r="J4" s="139" t="str">
        <f t="shared" ref="J4:L5" si="0">F4</f>
        <v>A1</v>
      </c>
      <c r="K4" s="139" t="str">
        <f t="shared" si="0"/>
        <v>A2</v>
      </c>
      <c r="L4" s="140" t="str">
        <f t="shared" si="0"/>
        <v>Barbarisi Gaetano</v>
      </c>
      <c r="M4" s="141"/>
      <c r="N4" s="139" t="str">
        <f t="shared" ref="N4:P5" si="1">J4</f>
        <v>A1</v>
      </c>
      <c r="O4" s="139" t="str">
        <f t="shared" si="1"/>
        <v>A2</v>
      </c>
      <c r="P4" s="142" t="str">
        <f t="shared" si="1"/>
        <v>Barbarisi Gaetano</v>
      </c>
    </row>
    <row r="5" spans="1:16" s="23" customFormat="1" ht="21" customHeight="1" x14ac:dyDescent="0.25">
      <c r="A5" s="326"/>
      <c r="B5" s="116" t="s">
        <v>20</v>
      </c>
      <c r="C5" s="112" t="s">
        <v>20</v>
      </c>
      <c r="D5" s="113" t="s">
        <v>202</v>
      </c>
      <c r="F5" s="112" t="str">
        <f>B5</f>
        <v>A1</v>
      </c>
      <c r="G5" s="112" t="s">
        <v>21</v>
      </c>
      <c r="H5" s="113" t="str">
        <f>D5</f>
        <v>Brosca Arturo</v>
      </c>
      <c r="J5" s="112" t="str">
        <f t="shared" si="0"/>
        <v>A1</v>
      </c>
      <c r="K5" s="112" t="str">
        <f t="shared" si="0"/>
        <v>A2</v>
      </c>
      <c r="L5" s="113" t="str">
        <f t="shared" si="0"/>
        <v>Brosca Arturo</v>
      </c>
      <c r="N5" s="112" t="str">
        <f t="shared" si="1"/>
        <v>A1</v>
      </c>
      <c r="O5" s="112" t="str">
        <f t="shared" si="1"/>
        <v>A2</v>
      </c>
      <c r="P5" s="143" t="str">
        <f t="shared" si="1"/>
        <v>Brosca Arturo</v>
      </c>
    </row>
    <row r="6" spans="1:16" s="23" customFormat="1" ht="21" customHeight="1" x14ac:dyDescent="0.25">
      <c r="A6" s="326"/>
      <c r="B6" s="116" t="s">
        <v>20</v>
      </c>
      <c r="C6" s="112" t="s">
        <v>24</v>
      </c>
      <c r="D6" s="113" t="s">
        <v>206</v>
      </c>
      <c r="F6" s="112" t="str">
        <f>B6</f>
        <v>A1</v>
      </c>
      <c r="G6" s="112" t="str">
        <f>C6</f>
        <v>A5</v>
      </c>
      <c r="H6" s="113" t="str">
        <f>D6</f>
        <v>Caravecchia Salvatore</v>
      </c>
      <c r="J6" s="112" t="str">
        <f>F6</f>
        <v>A1</v>
      </c>
      <c r="K6" s="112" t="str">
        <f>G6</f>
        <v>A5</v>
      </c>
      <c r="L6" s="113" t="str">
        <f>H6</f>
        <v>Caravecchia Salvatore</v>
      </c>
      <c r="N6" s="112" t="str">
        <f>J6</f>
        <v>A1</v>
      </c>
      <c r="O6" s="112" t="s">
        <v>25</v>
      </c>
      <c r="P6" s="143" t="str">
        <f>L6</f>
        <v>Caravecchia Salvatore</v>
      </c>
    </row>
    <row r="7" spans="1:16" s="23" customFormat="1" ht="21" customHeight="1" x14ac:dyDescent="0.25">
      <c r="A7" s="326"/>
      <c r="B7" s="115"/>
      <c r="C7" s="115"/>
      <c r="D7" s="118"/>
      <c r="F7" s="115"/>
      <c r="G7" s="115"/>
      <c r="H7" s="118"/>
      <c r="J7" s="115"/>
      <c r="K7" s="115"/>
      <c r="L7" s="118"/>
      <c r="N7" s="112" t="s">
        <v>20</v>
      </c>
      <c r="O7" s="112" t="s">
        <v>20</v>
      </c>
      <c r="P7" s="143" t="s">
        <v>254</v>
      </c>
    </row>
    <row r="8" spans="1:16" s="23" customFormat="1" ht="21" customHeight="1" x14ac:dyDescent="0.25">
      <c r="A8" s="326"/>
      <c r="B8" s="115"/>
      <c r="C8" s="115"/>
      <c r="D8" s="118"/>
      <c r="F8" s="115"/>
      <c r="G8" s="115"/>
      <c r="H8" s="118"/>
      <c r="J8" s="115"/>
      <c r="K8" s="115"/>
      <c r="L8" s="118"/>
      <c r="N8" s="112" t="s">
        <v>20</v>
      </c>
      <c r="O8" s="112" t="s">
        <v>20</v>
      </c>
      <c r="P8" s="143" t="s">
        <v>255</v>
      </c>
    </row>
    <row r="9" spans="1:16" s="23" customFormat="1" ht="21" customHeight="1" x14ac:dyDescent="0.25">
      <c r="A9" s="326"/>
      <c r="B9" s="116" t="s">
        <v>20</v>
      </c>
      <c r="C9" s="112" t="s">
        <v>20</v>
      </c>
      <c r="D9" s="113" t="s">
        <v>209</v>
      </c>
      <c r="F9" s="112" t="str">
        <f t="shared" ref="F9" si="2">B9</f>
        <v>A1</v>
      </c>
      <c r="G9" s="112" t="s">
        <v>21</v>
      </c>
      <c r="H9" s="113" t="str">
        <f t="shared" ref="H9" si="3">D9</f>
        <v>De Angelis Luigi</v>
      </c>
      <c r="J9" s="112" t="str">
        <f t="shared" ref="J9" si="4">F9</f>
        <v>A1</v>
      </c>
      <c r="K9" s="112" t="str">
        <f t="shared" ref="K9" si="5">G9</f>
        <v>A2</v>
      </c>
      <c r="L9" s="113" t="str">
        <f t="shared" ref="L9" si="6">H9</f>
        <v>De Angelis Luigi</v>
      </c>
      <c r="N9" s="112" t="str">
        <f t="shared" ref="N9" si="7">J9</f>
        <v>A1</v>
      </c>
      <c r="O9" s="112" t="str">
        <f t="shared" ref="O9" si="8">K9</f>
        <v>A2</v>
      </c>
      <c r="P9" s="143" t="str">
        <f t="shared" ref="P9" si="9">L9</f>
        <v>De Angelis Luigi</v>
      </c>
    </row>
    <row r="10" spans="1:16" s="23" customFormat="1" ht="21" customHeight="1" x14ac:dyDescent="0.25">
      <c r="A10" s="326"/>
      <c r="B10" s="116" t="s">
        <v>20</v>
      </c>
      <c r="C10" s="112" t="s">
        <v>20</v>
      </c>
      <c r="D10" s="113" t="s">
        <v>203</v>
      </c>
      <c r="F10" s="112" t="str">
        <f t="shared" ref="F10:F12" si="10">B10</f>
        <v>A1</v>
      </c>
      <c r="G10" s="112" t="s">
        <v>21</v>
      </c>
      <c r="H10" s="113" t="str">
        <f t="shared" ref="H10:H12" si="11">D10</f>
        <v>Dello Russo Luigi</v>
      </c>
      <c r="J10" s="112" t="str">
        <f t="shared" ref="J10:J12" si="12">F10</f>
        <v>A1</v>
      </c>
      <c r="K10" s="112" t="str">
        <f t="shared" ref="K10:K12" si="13">G10</f>
        <v>A2</v>
      </c>
      <c r="L10" s="113" t="str">
        <f t="shared" ref="L10:L12" si="14">H10</f>
        <v>Dello Russo Luigi</v>
      </c>
      <c r="N10" s="112" t="str">
        <f t="shared" ref="N10:N12" si="15">J10</f>
        <v>A1</v>
      </c>
      <c r="O10" s="112" t="s">
        <v>22</v>
      </c>
      <c r="P10" s="143" t="str">
        <f t="shared" ref="P10:P12" si="16">L10</f>
        <v>Dello Russo Luigi</v>
      </c>
    </row>
    <row r="11" spans="1:16" s="23" customFormat="1" ht="21" customHeight="1" x14ac:dyDescent="0.25">
      <c r="A11" s="326"/>
      <c r="B11" s="117"/>
      <c r="C11" s="115"/>
      <c r="D11" s="118"/>
      <c r="F11" s="115"/>
      <c r="G11" s="115"/>
      <c r="H11" s="118"/>
      <c r="J11" s="115"/>
      <c r="K11" s="115"/>
      <c r="L11" s="118"/>
      <c r="N11" s="112" t="s">
        <v>20</v>
      </c>
      <c r="O11" s="112" t="s">
        <v>20</v>
      </c>
      <c r="P11" s="143" t="s">
        <v>256</v>
      </c>
    </row>
    <row r="12" spans="1:16" s="23" customFormat="1" ht="21" customHeight="1" x14ac:dyDescent="0.25">
      <c r="A12" s="326"/>
      <c r="B12" s="116" t="s">
        <v>20</v>
      </c>
      <c r="C12" s="112" t="s">
        <v>20</v>
      </c>
      <c r="D12" s="113" t="s">
        <v>204</v>
      </c>
      <c r="F12" s="112" t="str">
        <f t="shared" si="10"/>
        <v>A1</v>
      </c>
      <c r="G12" s="112" t="s">
        <v>21</v>
      </c>
      <c r="H12" s="113" t="str">
        <f t="shared" si="11"/>
        <v>Palmese Carmine</v>
      </c>
      <c r="J12" s="112" t="str">
        <f t="shared" si="12"/>
        <v>A1</v>
      </c>
      <c r="K12" s="112" t="str">
        <f t="shared" si="13"/>
        <v>A2</v>
      </c>
      <c r="L12" s="113" t="str">
        <f t="shared" si="14"/>
        <v>Palmese Carmine</v>
      </c>
      <c r="N12" s="112" t="str">
        <f t="shared" si="15"/>
        <v>A1</v>
      </c>
      <c r="O12" s="112" t="s">
        <v>22</v>
      </c>
      <c r="P12" s="143" t="str">
        <f t="shared" si="16"/>
        <v>Palmese Carmine</v>
      </c>
    </row>
    <row r="13" spans="1:16" s="23" customFormat="1" ht="21" customHeight="1" x14ac:dyDescent="0.25">
      <c r="A13" s="326"/>
      <c r="B13" s="116" t="s">
        <v>20</v>
      </c>
      <c r="C13" s="112" t="s">
        <v>24</v>
      </c>
      <c r="D13" s="113" t="s">
        <v>207</v>
      </c>
      <c r="F13" s="112" t="str">
        <f t="shared" ref="F13:G15" si="17">B13</f>
        <v>A1</v>
      </c>
      <c r="G13" s="112" t="str">
        <f t="shared" si="17"/>
        <v>A5</v>
      </c>
      <c r="H13" s="113" t="str">
        <f t="shared" ref="H13:H15" si="18">D13</f>
        <v>Ruggiero Salvatore</v>
      </c>
      <c r="J13" s="112" t="str">
        <f t="shared" ref="J13:J15" si="19">F13</f>
        <v>A1</v>
      </c>
      <c r="K13" s="112" t="s">
        <v>25</v>
      </c>
      <c r="L13" s="113" t="str">
        <f t="shared" ref="L13:L15" si="20">H13</f>
        <v>Ruggiero Salvatore</v>
      </c>
      <c r="N13" s="115"/>
      <c r="O13" s="115"/>
      <c r="P13" s="144"/>
    </row>
    <row r="14" spans="1:16" s="23" customFormat="1" ht="21" customHeight="1" x14ac:dyDescent="0.25">
      <c r="A14" s="326"/>
      <c r="B14" s="116" t="s">
        <v>20</v>
      </c>
      <c r="C14" s="112" t="s">
        <v>24</v>
      </c>
      <c r="D14" s="113" t="s">
        <v>205</v>
      </c>
      <c r="F14" s="112" t="str">
        <f>B14</f>
        <v>A1</v>
      </c>
      <c r="G14" s="112" t="str">
        <f>C14</f>
        <v>A5</v>
      </c>
      <c r="H14" s="113" t="str">
        <f>D14</f>
        <v>Sarpa Pietro</v>
      </c>
      <c r="J14" s="115"/>
      <c r="K14" s="115"/>
      <c r="L14" s="118"/>
      <c r="N14" s="115"/>
      <c r="O14" s="115"/>
      <c r="P14" s="144"/>
    </row>
    <row r="15" spans="1:16" s="23" customFormat="1" ht="21" customHeight="1" x14ac:dyDescent="0.25">
      <c r="A15" s="327"/>
      <c r="B15" s="145" t="s">
        <v>20</v>
      </c>
      <c r="C15" s="146" t="s">
        <v>24</v>
      </c>
      <c r="D15" s="147" t="s">
        <v>208</v>
      </c>
      <c r="E15" s="148"/>
      <c r="F15" s="146" t="str">
        <f t="shared" si="17"/>
        <v>A1</v>
      </c>
      <c r="G15" s="146" t="str">
        <f t="shared" si="17"/>
        <v>A5</v>
      </c>
      <c r="H15" s="147" t="str">
        <f t="shared" si="18"/>
        <v>Tulimiero Antonio</v>
      </c>
      <c r="I15" s="148"/>
      <c r="J15" s="146" t="str">
        <f t="shared" si="19"/>
        <v>A1</v>
      </c>
      <c r="K15" s="146" t="s">
        <v>25</v>
      </c>
      <c r="L15" s="147" t="str">
        <f t="shared" si="20"/>
        <v>Tulimiero Antonio</v>
      </c>
      <c r="M15" s="148"/>
      <c r="N15" s="146" t="str">
        <f t="shared" ref="N15:O15" si="21">J15</f>
        <v>A1</v>
      </c>
      <c r="O15" s="146" t="str">
        <f t="shared" si="21"/>
        <v>A6</v>
      </c>
      <c r="P15" s="149" t="str">
        <f t="shared" ref="P15" si="22">L15</f>
        <v>Tulimiero Antonio</v>
      </c>
    </row>
    <row r="16" spans="1:16" s="23" customFormat="1" ht="21" customHeight="1" x14ac:dyDescent="0.25">
      <c r="A16" s="1"/>
      <c r="B16" s="22"/>
      <c r="C16" s="22"/>
      <c r="D16" s="21"/>
      <c r="F16" s="22"/>
      <c r="G16" s="22"/>
      <c r="H16" s="21"/>
      <c r="J16" s="22"/>
      <c r="K16" s="22"/>
      <c r="L16" s="21"/>
      <c r="N16" s="22"/>
      <c r="O16" s="22"/>
      <c r="P16" s="21"/>
    </row>
    <row r="17" spans="1:16" s="23" customFormat="1" ht="21" customHeight="1" x14ac:dyDescent="0.25">
      <c r="A17" s="322" t="s">
        <v>75</v>
      </c>
      <c r="B17" s="139" t="s">
        <v>26</v>
      </c>
      <c r="C17" s="139" t="s">
        <v>26</v>
      </c>
      <c r="D17" s="140" t="s">
        <v>210</v>
      </c>
      <c r="E17" s="141"/>
      <c r="F17" s="139" t="str">
        <f>B17</f>
        <v>B1</v>
      </c>
      <c r="G17" s="139" t="s">
        <v>27</v>
      </c>
      <c r="H17" s="140" t="str">
        <f t="shared" ref="H17" si="23">D17</f>
        <v>Ciampi Angelo Sergio</v>
      </c>
      <c r="I17" s="141"/>
      <c r="J17" s="139" t="str">
        <f t="shared" ref="J17:K20" si="24">F17</f>
        <v>B1</v>
      </c>
      <c r="K17" s="139" t="str">
        <f t="shared" si="24"/>
        <v>B2</v>
      </c>
      <c r="L17" s="140" t="str">
        <f t="shared" ref="L17" si="25">H17</f>
        <v>Ciampi Angelo Sergio</v>
      </c>
      <c r="M17" s="141"/>
      <c r="N17" s="139" t="str">
        <f>J17</f>
        <v>B1</v>
      </c>
      <c r="O17" s="139" t="s">
        <v>28</v>
      </c>
      <c r="P17" s="142" t="str">
        <f t="shared" ref="P17" si="26">L17</f>
        <v>Ciampi Angelo Sergio</v>
      </c>
    </row>
    <row r="18" spans="1:16" s="23" customFormat="1" ht="21" customHeight="1" x14ac:dyDescent="0.25">
      <c r="A18" s="323"/>
      <c r="B18" s="112" t="s">
        <v>26</v>
      </c>
      <c r="C18" s="112" t="s">
        <v>26</v>
      </c>
      <c r="D18" s="113" t="s">
        <v>211</v>
      </c>
      <c r="F18" s="112" t="str">
        <f>B18</f>
        <v>B1</v>
      </c>
      <c r="G18" s="112" t="s">
        <v>27</v>
      </c>
      <c r="H18" s="113" t="str">
        <f t="shared" ref="H18" si="27">D18</f>
        <v>D'Argenio Ciro</v>
      </c>
      <c r="J18" s="112" t="str">
        <f t="shared" si="24"/>
        <v>B1</v>
      </c>
      <c r="K18" s="112" t="str">
        <f t="shared" si="24"/>
        <v>B2</v>
      </c>
      <c r="L18" s="113" t="str">
        <f t="shared" ref="L18" si="28">H18</f>
        <v>D'Argenio Ciro</v>
      </c>
      <c r="N18" s="112" t="str">
        <f>J18</f>
        <v>B1</v>
      </c>
      <c r="O18" s="112" t="s">
        <v>28</v>
      </c>
      <c r="P18" s="143" t="str">
        <f t="shared" ref="P18" si="29">L18</f>
        <v>D'Argenio Ciro</v>
      </c>
    </row>
    <row r="19" spans="1:16" s="23" customFormat="1" ht="21" customHeight="1" x14ac:dyDescent="0.25">
      <c r="A19" s="323"/>
      <c r="B19" s="115"/>
      <c r="C19" s="115"/>
      <c r="D19" s="118"/>
      <c r="F19" s="115"/>
      <c r="G19" s="115"/>
      <c r="H19" s="118"/>
      <c r="J19" s="115"/>
      <c r="K19" s="115"/>
      <c r="L19" s="118"/>
      <c r="N19" s="112" t="s">
        <v>26</v>
      </c>
      <c r="O19" s="112" t="s">
        <v>26</v>
      </c>
      <c r="P19" s="143" t="s">
        <v>257</v>
      </c>
    </row>
    <row r="20" spans="1:16" s="23" customFormat="1" ht="21" customHeight="1" x14ac:dyDescent="0.25">
      <c r="A20" s="323"/>
      <c r="B20" s="112" t="s">
        <v>26</v>
      </c>
      <c r="C20" s="112" t="s">
        <v>26</v>
      </c>
      <c r="D20" s="113" t="s">
        <v>212</v>
      </c>
      <c r="F20" s="112" t="str">
        <f>B20</f>
        <v>B1</v>
      </c>
      <c r="G20" s="112" t="s">
        <v>27</v>
      </c>
      <c r="H20" s="113" t="str">
        <f t="shared" ref="H20" si="30">D20</f>
        <v>Matarazzo Carmine</v>
      </c>
      <c r="J20" s="112" t="str">
        <f t="shared" si="24"/>
        <v>B1</v>
      </c>
      <c r="K20" s="112" t="str">
        <f t="shared" si="24"/>
        <v>B2</v>
      </c>
      <c r="L20" s="113" t="str">
        <f t="shared" ref="L20" si="31">H20</f>
        <v>Matarazzo Carmine</v>
      </c>
      <c r="N20" s="112" t="str">
        <f>J20</f>
        <v>B1</v>
      </c>
      <c r="O20" s="112" t="s">
        <v>28</v>
      </c>
      <c r="P20" s="143" t="str">
        <f t="shared" ref="P20" si="32">L20</f>
        <v>Matarazzo Carmine</v>
      </c>
    </row>
    <row r="21" spans="1:16" s="23" customFormat="1" ht="21" customHeight="1" x14ac:dyDescent="0.25">
      <c r="A21" s="323"/>
      <c r="B21" s="112" t="s">
        <v>26</v>
      </c>
      <c r="C21" s="112" t="s">
        <v>32</v>
      </c>
      <c r="D21" s="113" t="s">
        <v>228</v>
      </c>
      <c r="F21" s="112" t="str">
        <f t="shared" ref="F21:G21" si="33">B21</f>
        <v>B1</v>
      </c>
      <c r="G21" s="112" t="str">
        <f t="shared" si="33"/>
        <v>B7</v>
      </c>
      <c r="H21" s="113" t="str">
        <f t="shared" ref="H21" si="34">D21</f>
        <v>Romano Anna</v>
      </c>
      <c r="J21" s="112" t="str">
        <f t="shared" ref="J21" si="35">F21</f>
        <v>B1</v>
      </c>
      <c r="K21" s="112" t="s">
        <v>33</v>
      </c>
      <c r="L21" s="113" t="str">
        <f t="shared" ref="L21" si="36">H21</f>
        <v>Romano Anna</v>
      </c>
      <c r="N21" s="112" t="str">
        <f t="shared" ref="N21" si="37">J21</f>
        <v>B1</v>
      </c>
      <c r="O21" s="112" t="str">
        <f t="shared" ref="O21" si="38">K21</f>
        <v>B8</v>
      </c>
      <c r="P21" s="143" t="str">
        <f t="shared" ref="P21" si="39">L21</f>
        <v>Romano Anna</v>
      </c>
    </row>
    <row r="22" spans="1:16" s="23" customFormat="1" ht="21" customHeight="1" x14ac:dyDescent="0.25">
      <c r="A22" s="323"/>
      <c r="B22" s="146" t="s">
        <v>26</v>
      </c>
      <c r="C22" s="146" t="s">
        <v>32</v>
      </c>
      <c r="D22" s="147" t="s">
        <v>229</v>
      </c>
      <c r="E22" s="148"/>
      <c r="F22" s="146" t="str">
        <f t="shared" ref="F22:G22" si="40">B22</f>
        <v>B1</v>
      </c>
      <c r="G22" s="146" t="str">
        <f t="shared" si="40"/>
        <v>B7</v>
      </c>
      <c r="H22" s="147" t="str">
        <f t="shared" ref="H22" si="41">D22</f>
        <v>Valentino Sabato</v>
      </c>
      <c r="I22" s="148"/>
      <c r="J22" s="146" t="str">
        <f t="shared" ref="J22" si="42">F22</f>
        <v>B1</v>
      </c>
      <c r="K22" s="146" t="s">
        <v>33</v>
      </c>
      <c r="L22" s="147" t="str">
        <f t="shared" ref="L22" si="43">H22</f>
        <v>Valentino Sabato</v>
      </c>
      <c r="M22" s="148"/>
      <c r="N22" s="146" t="str">
        <f t="shared" ref="N22" si="44">J22</f>
        <v>B1</v>
      </c>
      <c r="O22" s="146" t="str">
        <f t="shared" ref="O22" si="45">K22</f>
        <v>B8</v>
      </c>
      <c r="P22" s="149" t="str">
        <f t="shared" ref="P22" si="46">L22</f>
        <v>Valentino Sabato</v>
      </c>
    </row>
    <row r="23" spans="1:16" s="23" customFormat="1" ht="21" customHeight="1" x14ac:dyDescent="0.25">
      <c r="A23" s="323"/>
      <c r="B23" s="159" t="s">
        <v>28</v>
      </c>
      <c r="C23" s="159" t="s">
        <v>28</v>
      </c>
      <c r="D23" s="165" t="s">
        <v>213</v>
      </c>
      <c r="F23" s="159" t="str">
        <f t="shared" ref="F23" si="47">B23</f>
        <v>B3</v>
      </c>
      <c r="G23" s="159" t="s">
        <v>29</v>
      </c>
      <c r="H23" s="165" t="str">
        <f t="shared" ref="H23" si="48">D23</f>
        <v>Ciampa Antonietta</v>
      </c>
      <c r="J23" s="159" t="str">
        <f t="shared" ref="J23" si="49">F23</f>
        <v>B3</v>
      </c>
      <c r="K23" s="159" t="str">
        <f t="shared" ref="K23" si="50">G23</f>
        <v>B4</v>
      </c>
      <c r="L23" s="165" t="str">
        <f t="shared" ref="L23" si="51">H23</f>
        <v>Ciampa Antonietta</v>
      </c>
      <c r="N23" s="159" t="str">
        <f t="shared" ref="N23" si="52">J23</f>
        <v>B3</v>
      </c>
      <c r="O23" s="159" t="s">
        <v>30</v>
      </c>
      <c r="P23" s="166" t="str">
        <f t="shared" ref="P23" si="53">L23</f>
        <v>Ciampa Antonietta</v>
      </c>
    </row>
    <row r="24" spans="1:16" s="23" customFormat="1" ht="21" customHeight="1" x14ac:dyDescent="0.25">
      <c r="A24" s="323"/>
      <c r="B24" s="112" t="s">
        <v>28</v>
      </c>
      <c r="C24" s="112" t="s">
        <v>28</v>
      </c>
      <c r="D24" s="113" t="s">
        <v>220</v>
      </c>
      <c r="F24" s="112" t="str">
        <f t="shared" ref="F24" si="54">B24</f>
        <v>B3</v>
      </c>
      <c r="G24" s="112" t="s">
        <v>29</v>
      </c>
      <c r="H24" s="113" t="str">
        <f t="shared" ref="H24" si="55">D24</f>
        <v>Dello Russo Giuseppina</v>
      </c>
      <c r="J24" s="112" t="str">
        <f t="shared" ref="J24" si="56">F24</f>
        <v>B3</v>
      </c>
      <c r="K24" s="112" t="str">
        <f t="shared" ref="K24" si="57">G24</f>
        <v>B4</v>
      </c>
      <c r="L24" s="113" t="str">
        <f t="shared" ref="L24" si="58">H24</f>
        <v>Dello Russo Giuseppina</v>
      </c>
      <c r="N24" s="112" t="str">
        <f t="shared" ref="N24" si="59">J24</f>
        <v>B3</v>
      </c>
      <c r="O24" s="112" t="s">
        <v>30</v>
      </c>
      <c r="P24" s="143" t="str">
        <f t="shared" ref="P24" si="60">L24</f>
        <v>Dello Russo Giuseppina</v>
      </c>
    </row>
    <row r="25" spans="1:16" s="23" customFormat="1" ht="21" customHeight="1" x14ac:dyDescent="0.25">
      <c r="A25" s="323"/>
      <c r="B25" s="112" t="s">
        <v>28</v>
      </c>
      <c r="C25" s="112" t="s">
        <v>32</v>
      </c>
      <c r="D25" s="113" t="s">
        <v>226</v>
      </c>
      <c r="F25" s="112" t="str">
        <f t="shared" ref="F25:G26" si="61">B25</f>
        <v>B3</v>
      </c>
      <c r="G25" s="112" t="str">
        <f t="shared" ref="G25" si="62">C25</f>
        <v>B7</v>
      </c>
      <c r="H25" s="113" t="str">
        <f t="shared" ref="H25:H26" si="63">D25</f>
        <v>Di Grezia Fiorentino</v>
      </c>
      <c r="J25" s="112" t="str">
        <f t="shared" ref="J25:J26" si="64">F25</f>
        <v>B3</v>
      </c>
      <c r="K25" s="112" t="str">
        <f t="shared" ref="K25" si="65">G25</f>
        <v>B7</v>
      </c>
      <c r="L25" s="113" t="str">
        <f t="shared" ref="L25:L26" si="66">H25</f>
        <v>Di Grezia Fiorentino</v>
      </c>
      <c r="N25" s="112" t="str">
        <f t="shared" ref="N25" si="67">J25</f>
        <v>B3</v>
      </c>
      <c r="O25" s="112" t="str">
        <f t="shared" ref="O25" si="68">K25</f>
        <v>B7</v>
      </c>
      <c r="P25" s="143" t="str">
        <f t="shared" ref="P25" si="69">L25</f>
        <v>Di Grezia Fiorentino</v>
      </c>
    </row>
    <row r="26" spans="1:16" s="23" customFormat="1" ht="21" customHeight="1" x14ac:dyDescent="0.25">
      <c r="A26" s="323"/>
      <c r="B26" s="112" t="s">
        <v>28</v>
      </c>
      <c r="C26" s="112" t="s">
        <v>32</v>
      </c>
      <c r="D26" s="113" t="s">
        <v>227</v>
      </c>
      <c r="F26" s="112" t="str">
        <f t="shared" si="61"/>
        <v>B3</v>
      </c>
      <c r="G26" s="112" t="str">
        <f t="shared" si="61"/>
        <v>B7</v>
      </c>
      <c r="H26" s="113" t="str">
        <f t="shared" si="63"/>
        <v>Di Paola Maria</v>
      </c>
      <c r="J26" s="112" t="str">
        <f t="shared" si="64"/>
        <v>B3</v>
      </c>
      <c r="K26" s="112" t="s">
        <v>33</v>
      </c>
      <c r="L26" s="113" t="str">
        <f t="shared" si="66"/>
        <v>Di Paola Maria</v>
      </c>
      <c r="N26" s="115"/>
      <c r="O26" s="115"/>
      <c r="P26" s="144"/>
    </row>
    <row r="27" spans="1:16" s="23" customFormat="1" ht="21" customHeight="1" x14ac:dyDescent="0.25">
      <c r="A27" s="323"/>
      <c r="B27" s="112" t="s">
        <v>28</v>
      </c>
      <c r="C27" s="112" t="s">
        <v>28</v>
      </c>
      <c r="D27" s="113" t="s">
        <v>221</v>
      </c>
      <c r="F27" s="112" t="str">
        <f t="shared" ref="F27:F28" si="70">B27</f>
        <v>B3</v>
      </c>
      <c r="G27" s="112" t="s">
        <v>29</v>
      </c>
      <c r="H27" s="113" t="str">
        <f t="shared" ref="H27:H28" si="71">D27</f>
        <v>Lacerenza Nadia</v>
      </c>
      <c r="J27" s="112" t="str">
        <f t="shared" ref="J27:J28" si="72">F27</f>
        <v>B3</v>
      </c>
      <c r="K27" s="112" t="str">
        <f t="shared" ref="K27:K28" si="73">G27</f>
        <v>B4</v>
      </c>
      <c r="L27" s="113" t="str">
        <f t="shared" ref="L27:L28" si="74">H27</f>
        <v>Lacerenza Nadia</v>
      </c>
      <c r="N27" s="112" t="str">
        <f t="shared" ref="N27:O28" si="75">J27</f>
        <v>B3</v>
      </c>
      <c r="O27" s="112" t="str">
        <f t="shared" si="75"/>
        <v>B4</v>
      </c>
      <c r="P27" s="143" t="str">
        <f t="shared" ref="P27:P28" si="76">L27</f>
        <v>Lacerenza Nadia</v>
      </c>
    </row>
    <row r="28" spans="1:16" s="23" customFormat="1" ht="21" customHeight="1" x14ac:dyDescent="0.25">
      <c r="A28" s="323"/>
      <c r="B28" s="112" t="s">
        <v>28</v>
      </c>
      <c r="C28" s="112" t="s">
        <v>28</v>
      </c>
      <c r="D28" s="113" t="s">
        <v>222</v>
      </c>
      <c r="F28" s="112" t="str">
        <f t="shared" si="70"/>
        <v>B3</v>
      </c>
      <c r="G28" s="112" t="s">
        <v>29</v>
      </c>
      <c r="H28" s="113" t="str">
        <f t="shared" si="71"/>
        <v>Perna Rosa</v>
      </c>
      <c r="J28" s="112" t="str">
        <f t="shared" si="72"/>
        <v>B3</v>
      </c>
      <c r="K28" s="112" t="str">
        <f t="shared" si="73"/>
        <v>B4</v>
      </c>
      <c r="L28" s="113" t="str">
        <f t="shared" si="74"/>
        <v>Perna Rosa</v>
      </c>
      <c r="N28" s="112" t="str">
        <f t="shared" si="75"/>
        <v>B3</v>
      </c>
      <c r="O28" s="112" t="s">
        <v>30</v>
      </c>
      <c r="P28" s="143" t="str">
        <f t="shared" si="76"/>
        <v>Perna Rosa</v>
      </c>
    </row>
    <row r="29" spans="1:16" s="23" customFormat="1" ht="21" customHeight="1" x14ac:dyDescent="0.25">
      <c r="A29" s="323"/>
      <c r="B29" s="112" t="s">
        <v>28</v>
      </c>
      <c r="C29" s="112" t="s">
        <v>28</v>
      </c>
      <c r="D29" s="113" t="s">
        <v>223</v>
      </c>
      <c r="F29" s="112" t="str">
        <f t="shared" ref="F29:F30" si="77">B29</f>
        <v>B3</v>
      </c>
      <c r="G29" s="112" t="s">
        <v>29</v>
      </c>
      <c r="H29" s="113" t="str">
        <f t="shared" ref="H29:H30" si="78">D29</f>
        <v>Terranova Rita</v>
      </c>
      <c r="J29" s="112" t="str">
        <f t="shared" ref="J29:J31" si="79">F29</f>
        <v>B3</v>
      </c>
      <c r="K29" s="112" t="str">
        <f t="shared" ref="K29:K31" si="80">G29</f>
        <v>B4</v>
      </c>
      <c r="L29" s="113" t="str">
        <f t="shared" ref="L29:L31" si="81">H29</f>
        <v>Terranova Rita</v>
      </c>
      <c r="N29" s="112" t="str">
        <f t="shared" ref="N29:N30" si="82">J29</f>
        <v>B3</v>
      </c>
      <c r="O29" s="112" t="s">
        <v>30</v>
      </c>
      <c r="P29" s="143" t="str">
        <f t="shared" ref="P29:P30" si="83">L29</f>
        <v>Terranova Rita</v>
      </c>
    </row>
    <row r="30" spans="1:16" s="23" customFormat="1" ht="21" customHeight="1" x14ac:dyDescent="0.25">
      <c r="A30" s="323"/>
      <c r="B30" s="112" t="s">
        <v>28</v>
      </c>
      <c r="C30" s="112" t="s">
        <v>28</v>
      </c>
      <c r="D30" s="113" t="s">
        <v>224</v>
      </c>
      <c r="F30" s="112" t="str">
        <f t="shared" si="77"/>
        <v>B3</v>
      </c>
      <c r="G30" s="112" t="s">
        <v>29</v>
      </c>
      <c r="H30" s="113" t="str">
        <f t="shared" si="78"/>
        <v>Venezia Giuseppe</v>
      </c>
      <c r="J30" s="112" t="str">
        <f t="shared" si="79"/>
        <v>B3</v>
      </c>
      <c r="K30" s="112" t="str">
        <f t="shared" si="80"/>
        <v>B4</v>
      </c>
      <c r="L30" s="113" t="str">
        <f t="shared" si="81"/>
        <v>Venezia Giuseppe</v>
      </c>
      <c r="N30" s="112" t="str">
        <f t="shared" si="82"/>
        <v>B3</v>
      </c>
      <c r="O30" s="112" t="str">
        <f t="shared" ref="O30" si="84">K30</f>
        <v>B4</v>
      </c>
      <c r="P30" s="143" t="str">
        <f t="shared" si="83"/>
        <v>Venezia Giuseppe</v>
      </c>
    </row>
    <row r="31" spans="1:16" s="23" customFormat="1" ht="21" customHeight="1" x14ac:dyDescent="0.25">
      <c r="A31" s="324"/>
      <c r="B31" s="146" t="s">
        <v>28</v>
      </c>
      <c r="C31" s="146" t="s">
        <v>32</v>
      </c>
      <c r="D31" s="147" t="s">
        <v>225</v>
      </c>
      <c r="E31" s="148"/>
      <c r="F31" s="146" t="str">
        <f t="shared" ref="F31:G31" si="85">B31</f>
        <v>B3</v>
      </c>
      <c r="G31" s="146" t="str">
        <f t="shared" si="85"/>
        <v>B7</v>
      </c>
      <c r="H31" s="147" t="str">
        <f t="shared" ref="H31" si="86">D31</f>
        <v>Vacca Maria</v>
      </c>
      <c r="I31" s="148"/>
      <c r="J31" s="146" t="str">
        <f t="shared" si="79"/>
        <v>B3</v>
      </c>
      <c r="K31" s="146" t="str">
        <f t="shared" si="80"/>
        <v>B7</v>
      </c>
      <c r="L31" s="147" t="str">
        <f t="shared" si="81"/>
        <v>Vacca Maria</v>
      </c>
      <c r="M31" s="148"/>
      <c r="N31" s="150"/>
      <c r="O31" s="150"/>
      <c r="P31" s="151"/>
    </row>
    <row r="32" spans="1:16" ht="21" customHeight="1" x14ac:dyDescent="0.25">
      <c r="B32" s="22"/>
      <c r="C32" s="22"/>
      <c r="D32" s="21"/>
      <c r="E32" s="23"/>
      <c r="F32" s="22"/>
      <c r="G32" s="22"/>
      <c r="H32" s="21"/>
      <c r="I32" s="23"/>
      <c r="J32" s="22"/>
      <c r="K32" s="22"/>
      <c r="L32" s="21"/>
      <c r="M32" s="23"/>
      <c r="N32" s="22"/>
      <c r="O32" s="22"/>
      <c r="P32" s="21"/>
    </row>
    <row r="33" spans="1:16" ht="21" customHeight="1" x14ac:dyDescent="0.25">
      <c r="A33" s="322" t="s">
        <v>55</v>
      </c>
      <c r="B33" s="139" t="s">
        <v>55</v>
      </c>
      <c r="C33" s="139" t="s">
        <v>38</v>
      </c>
      <c r="D33" s="140" t="s">
        <v>236</v>
      </c>
      <c r="E33" s="141"/>
      <c r="F33" s="139" t="str">
        <f t="shared" ref="F33:G33" si="87">B33</f>
        <v>C</v>
      </c>
      <c r="G33" s="139" t="str">
        <f t="shared" si="87"/>
        <v>C5</v>
      </c>
      <c r="H33" s="140" t="str">
        <f t="shared" ref="H33" si="88">D33</f>
        <v>Argenziano Emilia</v>
      </c>
      <c r="I33" s="141"/>
      <c r="J33" s="139" t="str">
        <f t="shared" ref="J33" si="89">F33</f>
        <v>C</v>
      </c>
      <c r="K33" s="139" t="s">
        <v>39</v>
      </c>
      <c r="L33" s="140" t="str">
        <f t="shared" ref="L33" si="90">H33</f>
        <v>Argenziano Emilia</v>
      </c>
      <c r="M33" s="141"/>
      <c r="N33" s="139" t="str">
        <f t="shared" ref="N33:O33" si="91">J33</f>
        <v>C</v>
      </c>
      <c r="O33" s="139" t="str">
        <f t="shared" si="91"/>
        <v>C6</v>
      </c>
      <c r="P33" s="142" t="str">
        <f t="shared" ref="P33" si="92">L33</f>
        <v>Argenziano Emilia</v>
      </c>
    </row>
    <row r="34" spans="1:16" ht="21" customHeight="1" x14ac:dyDescent="0.25">
      <c r="A34" s="323"/>
      <c r="B34" s="112" t="s">
        <v>55</v>
      </c>
      <c r="C34" s="112" t="s">
        <v>34</v>
      </c>
      <c r="D34" s="113" t="s">
        <v>230</v>
      </c>
      <c r="E34" s="23"/>
      <c r="F34" s="112" t="str">
        <f t="shared" ref="F34" si="93">B34</f>
        <v>C</v>
      </c>
      <c r="G34" s="112" t="s">
        <v>35</v>
      </c>
      <c r="H34" s="113" t="str">
        <f t="shared" ref="H34" si="94">D34</f>
        <v>Corrado Micheleluigi</v>
      </c>
      <c r="I34" s="23"/>
      <c r="J34" s="112" t="str">
        <f t="shared" ref="J34" si="95">F34</f>
        <v>C</v>
      </c>
      <c r="K34" s="112" t="str">
        <f t="shared" ref="K34" si="96">G34</f>
        <v>C2</v>
      </c>
      <c r="L34" s="113" t="str">
        <f t="shared" ref="L34" si="97">H34</f>
        <v>Corrado Micheleluigi</v>
      </c>
      <c r="M34" s="23"/>
      <c r="N34" s="112" t="str">
        <f t="shared" ref="N34" si="98">J34</f>
        <v>C</v>
      </c>
      <c r="O34" s="112" t="s">
        <v>36</v>
      </c>
      <c r="P34" s="143" t="str">
        <f t="shared" ref="P34" si="99">L34</f>
        <v>Corrado Micheleluigi</v>
      </c>
    </row>
    <row r="35" spans="1:16" ht="21" customHeight="1" x14ac:dyDescent="0.25">
      <c r="A35" s="323"/>
      <c r="B35" s="112" t="s">
        <v>55</v>
      </c>
      <c r="C35" s="112" t="s">
        <v>34</v>
      </c>
      <c r="D35" s="113" t="s">
        <v>231</v>
      </c>
      <c r="E35" s="23"/>
      <c r="F35" s="112" t="str">
        <f t="shared" ref="F35" si="100">B35</f>
        <v>C</v>
      </c>
      <c r="G35" s="112" t="s">
        <v>35</v>
      </c>
      <c r="H35" s="113" t="str">
        <f t="shared" ref="H35" si="101">D35</f>
        <v>Criscitiello Maria Colomba</v>
      </c>
      <c r="I35" s="23"/>
      <c r="J35" s="112" t="str">
        <f t="shared" ref="J35" si="102">F35</f>
        <v>C</v>
      </c>
      <c r="K35" s="112" t="str">
        <f t="shared" ref="K35" si="103">G35</f>
        <v>C2</v>
      </c>
      <c r="L35" s="113" t="str">
        <f t="shared" ref="L35" si="104">H35</f>
        <v>Criscitiello Maria Colomba</v>
      </c>
      <c r="M35" s="23"/>
      <c r="N35" s="112" t="str">
        <f t="shared" ref="N35" si="105">J35</f>
        <v>C</v>
      </c>
      <c r="O35" s="112" t="s">
        <v>36</v>
      </c>
      <c r="P35" s="143" t="str">
        <f t="shared" ref="P35" si="106">L35</f>
        <v>Criscitiello Maria Colomba</v>
      </c>
    </row>
    <row r="36" spans="1:16" ht="21" customHeight="1" x14ac:dyDescent="0.25">
      <c r="A36" s="323"/>
      <c r="B36" s="112" t="s">
        <v>55</v>
      </c>
      <c r="C36" s="112" t="s">
        <v>38</v>
      </c>
      <c r="D36" s="113" t="s">
        <v>237</v>
      </c>
      <c r="E36" s="23"/>
      <c r="F36" s="112" t="str">
        <f t="shared" ref="F36:G36" si="107">B36</f>
        <v>C</v>
      </c>
      <c r="G36" s="112" t="str">
        <f t="shared" si="107"/>
        <v>C5</v>
      </c>
      <c r="H36" s="113" t="str">
        <f t="shared" ref="H36" si="108">D36</f>
        <v>Criscitiello Modestino</v>
      </c>
      <c r="I36" s="23"/>
      <c r="J36" s="112" t="str">
        <f t="shared" ref="J36" si="109">F36</f>
        <v>C</v>
      </c>
      <c r="K36" s="112" t="s">
        <v>39</v>
      </c>
      <c r="L36" s="113" t="str">
        <f t="shared" ref="L36" si="110">H36</f>
        <v>Criscitiello Modestino</v>
      </c>
      <c r="M36" s="23"/>
      <c r="N36" s="112" t="str">
        <f t="shared" ref="N36" si="111">J36</f>
        <v>C</v>
      </c>
      <c r="O36" s="112" t="str">
        <f t="shared" ref="O36" si="112">K36</f>
        <v>C6</v>
      </c>
      <c r="P36" s="143" t="str">
        <f t="shared" ref="P36" si="113">L36</f>
        <v>Criscitiello Modestino</v>
      </c>
    </row>
    <row r="37" spans="1:16" ht="21" customHeight="1" x14ac:dyDescent="0.25">
      <c r="A37" s="323"/>
      <c r="B37" s="112" t="s">
        <v>55</v>
      </c>
      <c r="C37" s="112" t="s">
        <v>34</v>
      </c>
      <c r="D37" s="113" t="s">
        <v>232</v>
      </c>
      <c r="E37" s="23"/>
      <c r="F37" s="112" t="str">
        <f t="shared" ref="F37" si="114">B37</f>
        <v>C</v>
      </c>
      <c r="G37" s="112" t="s">
        <v>35</v>
      </c>
      <c r="H37" s="113" t="str">
        <f t="shared" ref="H37" si="115">D37</f>
        <v>De Angelis Francesco</v>
      </c>
      <c r="I37" s="23"/>
      <c r="J37" s="112" t="str">
        <f t="shared" ref="J37" si="116">F37</f>
        <v>C</v>
      </c>
      <c r="K37" s="112" t="str">
        <f t="shared" ref="K37" si="117">G37</f>
        <v>C2</v>
      </c>
      <c r="L37" s="113" t="str">
        <f t="shared" ref="L37" si="118">H37</f>
        <v>De Angelis Francesco</v>
      </c>
      <c r="M37" s="23"/>
      <c r="N37" s="112" t="str">
        <f t="shared" ref="N37" si="119">J37</f>
        <v>C</v>
      </c>
      <c r="O37" s="112" t="s">
        <v>36</v>
      </c>
      <c r="P37" s="143" t="str">
        <f t="shared" ref="P37" si="120">L37</f>
        <v>De Angelis Francesco</v>
      </c>
    </row>
    <row r="38" spans="1:16" ht="21" customHeight="1" x14ac:dyDescent="0.25">
      <c r="A38" s="323"/>
      <c r="B38" s="112" t="s">
        <v>55</v>
      </c>
      <c r="C38" s="112" t="s">
        <v>34</v>
      </c>
      <c r="D38" s="113" t="s">
        <v>233</v>
      </c>
      <c r="E38" s="23"/>
      <c r="F38" s="112" t="str">
        <f t="shared" ref="F38:F39" si="121">B38</f>
        <v>C</v>
      </c>
      <c r="G38" s="112" t="s">
        <v>35</v>
      </c>
      <c r="H38" s="113" t="str">
        <f t="shared" ref="H38:H39" si="122">D38</f>
        <v>Di Grezia Flaviano</v>
      </c>
      <c r="I38" s="23"/>
      <c r="J38" s="112" t="str">
        <f t="shared" ref="J38:J39" si="123">F38</f>
        <v>C</v>
      </c>
      <c r="K38" s="112" t="str">
        <f t="shared" ref="K38:K39" si="124">G38</f>
        <v>C2</v>
      </c>
      <c r="L38" s="113" t="str">
        <f t="shared" ref="L38:L39" si="125">H38</f>
        <v>Di Grezia Flaviano</v>
      </c>
      <c r="M38" s="23"/>
      <c r="N38" s="115"/>
      <c r="O38" s="115"/>
      <c r="P38" s="144"/>
    </row>
    <row r="39" spans="1:16" ht="21" customHeight="1" x14ac:dyDescent="0.25">
      <c r="A39" s="323"/>
      <c r="B39" s="112" t="s">
        <v>55</v>
      </c>
      <c r="C39" s="112" t="s">
        <v>34</v>
      </c>
      <c r="D39" s="113" t="s">
        <v>234</v>
      </c>
      <c r="E39" s="23"/>
      <c r="F39" s="112" t="str">
        <f t="shared" si="121"/>
        <v>C</v>
      </c>
      <c r="G39" s="112" t="s">
        <v>35</v>
      </c>
      <c r="H39" s="113" t="str">
        <f t="shared" si="122"/>
        <v>Di Grezia Michele</v>
      </c>
      <c r="I39" s="23"/>
      <c r="J39" s="112" t="str">
        <f t="shared" si="123"/>
        <v>C</v>
      </c>
      <c r="K39" s="112" t="str">
        <f t="shared" si="124"/>
        <v>C2</v>
      </c>
      <c r="L39" s="113" t="str">
        <f t="shared" si="125"/>
        <v>Di Grezia Michele</v>
      </c>
      <c r="M39" s="23"/>
      <c r="N39" s="112" t="str">
        <f t="shared" ref="N39" si="126">J39</f>
        <v>C</v>
      </c>
      <c r="O39" s="112" t="str">
        <f t="shared" ref="O39" si="127">K39</f>
        <v>C2</v>
      </c>
      <c r="P39" s="143" t="str">
        <f t="shared" ref="P39" si="128">L39</f>
        <v>Di Grezia Michele</v>
      </c>
    </row>
    <row r="40" spans="1:16" ht="21" customHeight="1" x14ac:dyDescent="0.25">
      <c r="A40" s="323"/>
      <c r="B40" s="112" t="s">
        <v>55</v>
      </c>
      <c r="C40" s="112" t="s">
        <v>38</v>
      </c>
      <c r="D40" s="113" t="s">
        <v>238</v>
      </c>
      <c r="E40" s="23"/>
      <c r="F40" s="112" t="str">
        <f t="shared" ref="F40:G40" si="129">B40</f>
        <v>C</v>
      </c>
      <c r="G40" s="112" t="str">
        <f t="shared" si="129"/>
        <v>C5</v>
      </c>
      <c r="H40" s="113" t="str">
        <f t="shared" ref="H40" si="130">D40</f>
        <v>Di Biase Tullio</v>
      </c>
      <c r="I40" s="23"/>
      <c r="J40" s="112" t="str">
        <f t="shared" ref="J40" si="131">F40</f>
        <v>C</v>
      </c>
      <c r="K40" s="112" t="s">
        <v>39</v>
      </c>
      <c r="L40" s="113" t="str">
        <f t="shared" ref="L40" si="132">H40</f>
        <v>Di Biase Tullio</v>
      </c>
      <c r="M40" s="23"/>
      <c r="N40" s="112" t="str">
        <f t="shared" ref="N40" si="133">J40</f>
        <v>C</v>
      </c>
      <c r="O40" s="112" t="str">
        <f t="shared" ref="O40" si="134">K40</f>
        <v>C6</v>
      </c>
      <c r="P40" s="143" t="str">
        <f t="shared" ref="P40" si="135">L40</f>
        <v>Di Biase Tullio</v>
      </c>
    </row>
    <row r="41" spans="1:16" ht="21" customHeight="1" x14ac:dyDescent="0.25">
      <c r="A41" s="323"/>
      <c r="B41" s="112" t="s">
        <v>55</v>
      </c>
      <c r="C41" s="112" t="s">
        <v>38</v>
      </c>
      <c r="D41" s="113" t="s">
        <v>239</v>
      </c>
      <c r="E41" s="23"/>
      <c r="F41" s="112" t="str">
        <f t="shared" ref="F41:G41" si="136">B41</f>
        <v>C</v>
      </c>
      <c r="G41" s="112" t="str">
        <f t="shared" si="136"/>
        <v>C5</v>
      </c>
      <c r="H41" s="113" t="str">
        <f t="shared" ref="H41" si="137">D41</f>
        <v>Dello Russo Angelo</v>
      </c>
      <c r="I41" s="23"/>
      <c r="J41" s="112" t="str">
        <f t="shared" ref="J41" si="138">F41</f>
        <v>C</v>
      </c>
      <c r="K41" s="112" t="s">
        <v>39</v>
      </c>
      <c r="L41" s="113" t="str">
        <f t="shared" ref="L41" si="139">H41</f>
        <v>Dello Russo Angelo</v>
      </c>
      <c r="M41" s="23"/>
      <c r="N41" s="112" t="str">
        <f t="shared" ref="N41" si="140">J41</f>
        <v>C</v>
      </c>
      <c r="O41" s="112" t="str">
        <f t="shared" ref="O41" si="141">K41</f>
        <v>C6</v>
      </c>
      <c r="P41" s="143" t="str">
        <f t="shared" ref="P41" si="142">L41</f>
        <v>Dello Russo Angelo</v>
      </c>
    </row>
    <row r="42" spans="1:16" ht="21" customHeight="1" x14ac:dyDescent="0.25">
      <c r="A42" s="323"/>
      <c r="B42" s="112" t="s">
        <v>55</v>
      </c>
      <c r="C42" s="112" t="s">
        <v>38</v>
      </c>
      <c r="D42" s="113" t="s">
        <v>240</v>
      </c>
      <c r="E42" s="23"/>
      <c r="F42" s="112" t="str">
        <f t="shared" ref="F42:G42" si="143">B42</f>
        <v>C</v>
      </c>
      <c r="G42" s="112" t="str">
        <f t="shared" si="143"/>
        <v>C5</v>
      </c>
      <c r="H42" s="113" t="str">
        <f t="shared" ref="H42" si="144">D42</f>
        <v>Di Gaeta Giacoma</v>
      </c>
      <c r="I42" s="23"/>
      <c r="J42" s="112" t="str">
        <f t="shared" ref="J42" si="145">F42</f>
        <v>C</v>
      </c>
      <c r="K42" s="112" t="s">
        <v>39</v>
      </c>
      <c r="L42" s="113" t="str">
        <f t="shared" ref="L42" si="146">H42</f>
        <v>Di Gaeta Giacoma</v>
      </c>
      <c r="M42" s="23"/>
      <c r="N42" s="112" t="str">
        <f t="shared" ref="N42" si="147">J42</f>
        <v>C</v>
      </c>
      <c r="O42" s="112" t="str">
        <f t="shared" ref="O42" si="148">K42</f>
        <v>C6</v>
      </c>
      <c r="P42" s="143" t="str">
        <f t="shared" ref="P42" si="149">L42</f>
        <v>Di Gaeta Giacoma</v>
      </c>
    </row>
    <row r="43" spans="1:16" ht="21" customHeight="1" x14ac:dyDescent="0.2">
      <c r="A43" s="323"/>
      <c r="B43" s="112" t="s">
        <v>55</v>
      </c>
      <c r="C43" s="112" t="s">
        <v>38</v>
      </c>
      <c r="D43" s="113" t="s">
        <v>241</v>
      </c>
      <c r="E43" s="119"/>
      <c r="F43" s="112" t="str">
        <f t="shared" ref="F43:G45" si="150">B43</f>
        <v>C</v>
      </c>
      <c r="G43" s="112" t="s">
        <v>38</v>
      </c>
      <c r="H43" s="113" t="str">
        <f t="shared" ref="H43:H45" si="151">D43</f>
        <v>Di Gaeta Giuseppe</v>
      </c>
      <c r="I43" s="119"/>
      <c r="J43" s="115"/>
      <c r="K43" s="115"/>
      <c r="L43" s="118"/>
      <c r="M43" s="119"/>
      <c r="N43" s="115"/>
      <c r="O43" s="118"/>
      <c r="P43" s="152"/>
    </row>
    <row r="44" spans="1:16" ht="21" customHeight="1" x14ac:dyDescent="0.25">
      <c r="A44" s="323"/>
      <c r="B44" s="112" t="s">
        <v>55</v>
      </c>
      <c r="C44" s="112" t="s">
        <v>38</v>
      </c>
      <c r="D44" s="113" t="s">
        <v>242</v>
      </c>
      <c r="E44" s="23"/>
      <c r="F44" s="112" t="str">
        <f t="shared" si="150"/>
        <v>C</v>
      </c>
      <c r="G44" s="112" t="s">
        <v>38</v>
      </c>
      <c r="H44" s="113" t="str">
        <f t="shared" si="151"/>
        <v>Di Lisi Anna</v>
      </c>
      <c r="I44" s="23"/>
      <c r="J44" s="112" t="str">
        <f t="shared" ref="J44:J45" si="152">F44</f>
        <v>C</v>
      </c>
      <c r="K44" s="112" t="s">
        <v>39</v>
      </c>
      <c r="L44" s="113" t="str">
        <f t="shared" ref="L44:L45" si="153">H44</f>
        <v>Di Lisi Anna</v>
      </c>
      <c r="M44" s="23"/>
      <c r="N44" s="115"/>
      <c r="O44" s="118"/>
      <c r="P44" s="152"/>
    </row>
    <row r="45" spans="1:16" ht="21" customHeight="1" x14ac:dyDescent="0.25">
      <c r="A45" s="323"/>
      <c r="B45" s="112" t="s">
        <v>55</v>
      </c>
      <c r="C45" s="112" t="s">
        <v>38</v>
      </c>
      <c r="D45" s="113" t="s">
        <v>243</v>
      </c>
      <c r="E45" s="23"/>
      <c r="F45" s="112" t="str">
        <f t="shared" si="150"/>
        <v>C</v>
      </c>
      <c r="G45" s="112" t="str">
        <f t="shared" si="150"/>
        <v>C5</v>
      </c>
      <c r="H45" s="113" t="str">
        <f t="shared" si="151"/>
        <v>Nappo Caterina</v>
      </c>
      <c r="I45" s="23"/>
      <c r="J45" s="112" t="str">
        <f t="shared" si="152"/>
        <v>C</v>
      </c>
      <c r="K45" s="112" t="str">
        <f t="shared" ref="K45" si="154">G45</f>
        <v>C5</v>
      </c>
      <c r="L45" s="113" t="str">
        <f t="shared" si="153"/>
        <v>Nappo Caterina</v>
      </c>
      <c r="M45" s="23"/>
      <c r="N45" s="112" t="str">
        <f t="shared" ref="N45" si="155">J45</f>
        <v>C</v>
      </c>
      <c r="O45" s="112" t="s">
        <v>39</v>
      </c>
      <c r="P45" s="143" t="str">
        <f t="shared" ref="P45" si="156">L45</f>
        <v>Nappo Caterina</v>
      </c>
    </row>
    <row r="46" spans="1:16" ht="21" customHeight="1" x14ac:dyDescent="0.25">
      <c r="A46" s="323"/>
      <c r="B46" s="112" t="s">
        <v>55</v>
      </c>
      <c r="C46" s="112" t="s">
        <v>38</v>
      </c>
      <c r="D46" s="113" t="s">
        <v>244</v>
      </c>
      <c r="E46" s="23"/>
      <c r="F46" s="112" t="str">
        <f t="shared" ref="F46" si="157">B46</f>
        <v>C</v>
      </c>
      <c r="G46" s="112" t="str">
        <f t="shared" ref="G46" si="158">C46</f>
        <v>C5</v>
      </c>
      <c r="H46" s="113" t="str">
        <f t="shared" ref="H46" si="159">D46</f>
        <v>Romano Giovanni</v>
      </c>
      <c r="I46" s="23"/>
      <c r="J46" s="112" t="str">
        <f t="shared" ref="J46" si="160">F46</f>
        <v>C</v>
      </c>
      <c r="K46" s="112" t="str">
        <f t="shared" ref="K46" si="161">G46</f>
        <v>C5</v>
      </c>
      <c r="L46" s="113" t="str">
        <f t="shared" ref="L46" si="162">H46</f>
        <v>Romano Giovanni</v>
      </c>
      <c r="M46" s="23"/>
      <c r="N46" s="112" t="str">
        <f t="shared" ref="N46" si="163">J46</f>
        <v>C</v>
      </c>
      <c r="O46" s="112" t="s">
        <v>39</v>
      </c>
      <c r="P46" s="143" t="str">
        <f t="shared" ref="P46" si="164">L46</f>
        <v>Romano Giovanni</v>
      </c>
    </row>
    <row r="47" spans="1:16" ht="21" customHeight="1" x14ac:dyDescent="0.25">
      <c r="A47" s="323"/>
      <c r="B47" s="112" t="s">
        <v>55</v>
      </c>
      <c r="C47" s="112" t="s">
        <v>38</v>
      </c>
      <c r="D47" s="113" t="s">
        <v>245</v>
      </c>
      <c r="E47" s="23"/>
      <c r="F47" s="112" t="str">
        <f t="shared" ref="F47" si="165">B47</f>
        <v>C</v>
      </c>
      <c r="G47" s="112" t="str">
        <f t="shared" ref="G47" si="166">C47</f>
        <v>C5</v>
      </c>
      <c r="H47" s="113" t="str">
        <f t="shared" ref="H47" si="167">D47</f>
        <v>Romano Pasqualina</v>
      </c>
      <c r="I47" s="23"/>
      <c r="J47" s="112" t="str">
        <f t="shared" ref="J47" si="168">F47</f>
        <v>C</v>
      </c>
      <c r="K47" s="112" t="str">
        <f t="shared" ref="K47" si="169">G47</f>
        <v>C5</v>
      </c>
      <c r="L47" s="113" t="str">
        <f t="shared" ref="L47" si="170">H47</f>
        <v>Romano Pasqualina</v>
      </c>
      <c r="M47" s="23"/>
      <c r="N47" s="112" t="str">
        <f t="shared" ref="N47" si="171">J47</f>
        <v>C</v>
      </c>
      <c r="O47" s="112" t="s">
        <v>39</v>
      </c>
      <c r="P47" s="143" t="str">
        <f t="shared" ref="P47" si="172">L47</f>
        <v>Romano Pasqualina</v>
      </c>
    </row>
    <row r="48" spans="1:16" ht="21" customHeight="1" x14ac:dyDescent="0.25">
      <c r="A48" s="323"/>
      <c r="B48" s="112" t="s">
        <v>55</v>
      </c>
      <c r="C48" s="112" t="s">
        <v>38</v>
      </c>
      <c r="D48" s="113" t="s">
        <v>246</v>
      </c>
      <c r="E48" s="23"/>
      <c r="F48" s="112" t="str">
        <f t="shared" ref="F48" si="173">B48</f>
        <v>C</v>
      </c>
      <c r="G48" s="112" t="str">
        <f t="shared" ref="G48" si="174">C48</f>
        <v>C5</v>
      </c>
      <c r="H48" s="113" t="str">
        <f t="shared" ref="H48" si="175">D48</f>
        <v>Ruocco Orazio</v>
      </c>
      <c r="I48" s="23"/>
      <c r="J48" s="112" t="str">
        <f t="shared" ref="J48" si="176">F48</f>
        <v>C</v>
      </c>
      <c r="K48" s="112" t="str">
        <f t="shared" ref="K48" si="177">G48</f>
        <v>C5</v>
      </c>
      <c r="L48" s="113" t="str">
        <f t="shared" ref="L48" si="178">H48</f>
        <v>Ruocco Orazio</v>
      </c>
      <c r="M48" s="23"/>
      <c r="N48" s="115"/>
      <c r="O48" s="118"/>
      <c r="P48" s="152"/>
    </row>
    <row r="49" spans="1:16" ht="21" customHeight="1" x14ac:dyDescent="0.25">
      <c r="A49" s="324"/>
      <c r="B49" s="146" t="s">
        <v>55</v>
      </c>
      <c r="C49" s="146" t="s">
        <v>34</v>
      </c>
      <c r="D49" s="147" t="s">
        <v>235</v>
      </c>
      <c r="E49" s="148"/>
      <c r="F49" s="146" t="str">
        <f>B49</f>
        <v>C</v>
      </c>
      <c r="G49" s="146" t="str">
        <f>C49</f>
        <v>C1</v>
      </c>
      <c r="H49" s="147" t="str">
        <f>D49</f>
        <v>Valente Raffaele</v>
      </c>
      <c r="I49" s="148"/>
      <c r="J49" s="146" t="str">
        <f>F49</f>
        <v>C</v>
      </c>
      <c r="K49" s="146" t="str">
        <f>G49</f>
        <v>C1</v>
      </c>
      <c r="L49" s="147" t="str">
        <f>H49</f>
        <v>Valente Raffaele</v>
      </c>
      <c r="M49" s="148"/>
      <c r="N49" s="146" t="str">
        <f>J49</f>
        <v>C</v>
      </c>
      <c r="O49" s="146" t="s">
        <v>35</v>
      </c>
      <c r="P49" s="149" t="str">
        <f>L49</f>
        <v>Valente Raffaele</v>
      </c>
    </row>
    <row r="50" spans="1:16" ht="21" customHeight="1" x14ac:dyDescent="0.25">
      <c r="B50" s="22"/>
      <c r="C50" s="22"/>
      <c r="D50" s="21"/>
      <c r="E50" s="23"/>
      <c r="F50" s="22"/>
      <c r="G50" s="22"/>
      <c r="H50" s="21"/>
      <c r="I50" s="23"/>
      <c r="J50" s="22"/>
      <c r="K50" s="22"/>
      <c r="L50" s="21"/>
      <c r="M50" s="23"/>
      <c r="N50" s="22"/>
      <c r="O50" s="22"/>
      <c r="P50" s="21"/>
    </row>
    <row r="51" spans="1:16" ht="21" customHeight="1" x14ac:dyDescent="0.25">
      <c r="A51" s="322" t="s">
        <v>90</v>
      </c>
      <c r="B51" s="153"/>
      <c r="C51" s="154"/>
      <c r="D51" s="153"/>
      <c r="E51" s="141"/>
      <c r="F51" s="154"/>
      <c r="G51" s="153"/>
      <c r="H51" s="153"/>
      <c r="I51" s="141"/>
      <c r="J51" s="153"/>
      <c r="K51" s="153"/>
      <c r="L51" s="154"/>
      <c r="M51" s="141"/>
      <c r="N51" s="139" t="s">
        <v>40</v>
      </c>
      <c r="O51" s="139" t="s">
        <v>40</v>
      </c>
      <c r="P51" s="155" t="s">
        <v>252</v>
      </c>
    </row>
    <row r="52" spans="1:16" ht="21" customHeight="1" x14ac:dyDescent="0.25">
      <c r="A52" s="323"/>
      <c r="B52" s="115"/>
      <c r="C52" s="118"/>
      <c r="D52" s="115"/>
      <c r="E52" s="23"/>
      <c r="F52" s="118"/>
      <c r="G52" s="115"/>
      <c r="H52" s="115"/>
      <c r="I52" s="23"/>
      <c r="J52" s="112" t="s">
        <v>40</v>
      </c>
      <c r="K52" s="112" t="s">
        <v>40</v>
      </c>
      <c r="L52" s="114" t="s">
        <v>253</v>
      </c>
      <c r="M52" s="23"/>
      <c r="N52" s="118"/>
      <c r="O52" s="115"/>
      <c r="P52" s="152"/>
    </row>
    <row r="53" spans="1:16" ht="21" customHeight="1" x14ac:dyDescent="0.25">
      <c r="A53" s="323"/>
      <c r="B53" s="115"/>
      <c r="C53" s="118"/>
      <c r="D53" s="115"/>
      <c r="E53" s="23"/>
      <c r="F53" s="118"/>
      <c r="G53" s="115"/>
      <c r="H53" s="115"/>
      <c r="I53" s="23"/>
      <c r="J53" s="115"/>
      <c r="K53" s="115"/>
      <c r="L53" s="118"/>
      <c r="M53" s="23"/>
      <c r="N53" s="112" t="s">
        <v>40</v>
      </c>
      <c r="O53" s="112" t="s">
        <v>40</v>
      </c>
      <c r="P53" s="156" t="s">
        <v>233</v>
      </c>
    </row>
    <row r="54" spans="1:16" ht="21" customHeight="1" x14ac:dyDescent="0.2">
      <c r="A54" s="323"/>
      <c r="B54" s="112" t="s">
        <v>40</v>
      </c>
      <c r="C54" s="112" t="s">
        <v>45</v>
      </c>
      <c r="D54" s="114" t="s">
        <v>250</v>
      </c>
      <c r="E54" s="120"/>
      <c r="F54" s="115"/>
      <c r="G54" s="118"/>
      <c r="H54" s="115"/>
      <c r="I54" s="120"/>
      <c r="J54" s="118"/>
      <c r="K54" s="115"/>
      <c r="L54" s="115"/>
      <c r="M54" s="120"/>
      <c r="N54" s="115"/>
      <c r="O54" s="115"/>
      <c r="P54" s="144"/>
    </row>
    <row r="55" spans="1:16" ht="21" customHeight="1" x14ac:dyDescent="0.25">
      <c r="A55" s="323"/>
      <c r="B55" s="150"/>
      <c r="C55" s="164"/>
      <c r="D55" s="150"/>
      <c r="E55" s="148"/>
      <c r="F55" s="146" t="s">
        <v>40</v>
      </c>
      <c r="G55" s="146" t="s">
        <v>40</v>
      </c>
      <c r="H55" s="157" t="s">
        <v>248</v>
      </c>
      <c r="I55" s="148"/>
      <c r="J55" s="146" t="str">
        <f t="shared" ref="J55" si="179">F55</f>
        <v>D1</v>
      </c>
      <c r="K55" s="146" t="str">
        <f t="shared" ref="K55" si="180">G55</f>
        <v>D1</v>
      </c>
      <c r="L55" s="157" t="str">
        <f t="shared" ref="L55" si="181">H55</f>
        <v>Morisco Vincenzo</v>
      </c>
      <c r="M55" s="148"/>
      <c r="N55" s="146" t="str">
        <f t="shared" ref="N55" si="182">J55</f>
        <v>D1</v>
      </c>
      <c r="O55" s="146" t="s">
        <v>41</v>
      </c>
      <c r="P55" s="158" t="str">
        <f t="shared" ref="P55" si="183">L55</f>
        <v>Morisco Vincenzo</v>
      </c>
    </row>
    <row r="56" spans="1:16" ht="21" customHeight="1" x14ac:dyDescent="0.2">
      <c r="A56" s="323"/>
      <c r="B56" s="159" t="s">
        <v>42</v>
      </c>
      <c r="C56" s="159" t="s">
        <v>45</v>
      </c>
      <c r="D56" s="160" t="s">
        <v>200</v>
      </c>
      <c r="E56" s="120"/>
      <c r="F56" s="161"/>
      <c r="G56" s="162"/>
      <c r="H56" s="161"/>
      <c r="I56" s="120"/>
      <c r="J56" s="162"/>
      <c r="K56" s="161"/>
      <c r="L56" s="161"/>
      <c r="M56" s="120"/>
      <c r="N56" s="161"/>
      <c r="O56" s="161"/>
      <c r="P56" s="163"/>
    </row>
    <row r="57" spans="1:16" ht="21" customHeight="1" x14ac:dyDescent="0.25">
      <c r="A57" s="323"/>
      <c r="B57" s="112" t="s">
        <v>42</v>
      </c>
      <c r="C57" s="112" t="s">
        <v>42</v>
      </c>
      <c r="D57" s="114" t="s">
        <v>247</v>
      </c>
      <c r="E57" s="23"/>
      <c r="F57" s="112" t="str">
        <f t="shared" ref="F57" si="184">B57</f>
        <v>D3</v>
      </c>
      <c r="G57" s="112" t="s">
        <v>43</v>
      </c>
      <c r="H57" s="114" t="str">
        <f t="shared" ref="H57" si="185">D57</f>
        <v>Di Gaeta Paolo</v>
      </c>
      <c r="I57" s="23"/>
      <c r="J57" s="112" t="str">
        <f t="shared" ref="J57" si="186">F57</f>
        <v>D3</v>
      </c>
      <c r="K57" s="112" t="str">
        <f t="shared" ref="K57" si="187">G57</f>
        <v>D4</v>
      </c>
      <c r="L57" s="114" t="str">
        <f t="shared" ref="L57" si="188">H57</f>
        <v>Di Gaeta Paolo</v>
      </c>
      <c r="M57" s="23"/>
      <c r="N57" s="112" t="str">
        <f t="shared" ref="N57" si="189">J57</f>
        <v>D3</v>
      </c>
      <c r="O57" s="112" t="str">
        <f t="shared" ref="O57" si="190">K57</f>
        <v>D4</v>
      </c>
      <c r="P57" s="156" t="str">
        <f t="shared" ref="P57" si="191">L57</f>
        <v>Di Gaeta Paolo</v>
      </c>
    </row>
    <row r="58" spans="1:16" ht="21" customHeight="1" x14ac:dyDescent="0.25">
      <c r="A58" s="323"/>
      <c r="B58" s="112" t="s">
        <v>42</v>
      </c>
      <c r="C58" s="112" t="s">
        <v>45</v>
      </c>
      <c r="D58" s="114" t="s">
        <v>249</v>
      </c>
      <c r="E58" s="23"/>
      <c r="F58" s="112" t="str">
        <f t="shared" ref="F58:G58" si="192">B58</f>
        <v>D3</v>
      </c>
      <c r="G58" s="112" t="str">
        <f t="shared" si="192"/>
        <v>D6</v>
      </c>
      <c r="H58" s="114" t="str">
        <f t="shared" ref="H58" si="193">D58</f>
        <v>Leo Michele</v>
      </c>
      <c r="I58" s="23"/>
      <c r="J58" s="112" t="str">
        <f t="shared" ref="J58" si="194">F58</f>
        <v>D3</v>
      </c>
      <c r="K58" s="112" t="s">
        <v>46</v>
      </c>
      <c r="L58" s="114" t="str">
        <f t="shared" ref="L58" si="195">H58</f>
        <v>Leo Michele</v>
      </c>
      <c r="M58" s="23"/>
      <c r="N58" s="112" t="str">
        <f t="shared" ref="N58" si="196">J58</f>
        <v>D3</v>
      </c>
      <c r="O58" s="112" t="str">
        <f t="shared" ref="O58" si="197">K58</f>
        <v>D7</v>
      </c>
      <c r="P58" s="156" t="str">
        <f t="shared" ref="P58" si="198">L58</f>
        <v>Leo Michele</v>
      </c>
    </row>
    <row r="59" spans="1:16" ht="21" customHeight="1" x14ac:dyDescent="0.2">
      <c r="A59" s="323"/>
      <c r="B59" s="112" t="s">
        <v>42</v>
      </c>
      <c r="C59" s="112" t="s">
        <v>42</v>
      </c>
      <c r="D59" s="114" t="s">
        <v>248</v>
      </c>
      <c r="E59" s="120"/>
      <c r="F59" s="115"/>
      <c r="G59" s="118"/>
      <c r="H59" s="115"/>
      <c r="I59" s="120"/>
      <c r="J59" s="118"/>
      <c r="K59" s="115"/>
      <c r="L59" s="115"/>
      <c r="M59" s="120"/>
      <c r="N59" s="115"/>
      <c r="O59" s="115"/>
      <c r="P59" s="144"/>
    </row>
    <row r="60" spans="1:16" ht="21" customHeight="1" x14ac:dyDescent="0.25">
      <c r="A60" s="324"/>
      <c r="B60" s="146" t="s">
        <v>42</v>
      </c>
      <c r="C60" s="146" t="s">
        <v>45</v>
      </c>
      <c r="D60" s="157" t="s">
        <v>251</v>
      </c>
      <c r="E60" s="148"/>
      <c r="F60" s="146" t="str">
        <f t="shared" ref="F60:G60" si="199">B60</f>
        <v>D3</v>
      </c>
      <c r="G60" s="146" t="str">
        <f t="shared" si="199"/>
        <v>D6</v>
      </c>
      <c r="H60" s="157" t="str">
        <f t="shared" ref="H60" si="200">D60</f>
        <v>Pacilio Remo</v>
      </c>
      <c r="I60" s="148"/>
      <c r="J60" s="146" t="str">
        <f t="shared" ref="J60" si="201">F60</f>
        <v>D3</v>
      </c>
      <c r="K60" s="146" t="str">
        <f t="shared" ref="K60" si="202">G60</f>
        <v>D6</v>
      </c>
      <c r="L60" s="157" t="str">
        <f t="shared" ref="L60" si="203">H60</f>
        <v>Pacilio Remo</v>
      </c>
      <c r="M60" s="148"/>
      <c r="N60" s="146" t="str">
        <f t="shared" ref="N60" si="204">J60</f>
        <v>D3</v>
      </c>
      <c r="O60" s="146" t="s">
        <v>46</v>
      </c>
      <c r="P60" s="158" t="str">
        <f t="shared" ref="P60" si="205">L60</f>
        <v>Pacilio Remo</v>
      </c>
    </row>
    <row r="61" spans="1:16" s="23" customFormat="1" ht="21" customHeight="1" x14ac:dyDescent="0.25">
      <c r="A61" s="1"/>
      <c r="B61" s="22"/>
      <c r="C61" s="22"/>
      <c r="D61" s="21"/>
      <c r="F61" s="22"/>
      <c r="G61" s="22"/>
      <c r="H61" s="21"/>
      <c r="J61" s="22"/>
      <c r="K61" s="22"/>
      <c r="L61" s="21"/>
      <c r="N61" s="22"/>
      <c r="O61" s="22"/>
      <c r="P61" s="21"/>
    </row>
    <row r="62" spans="1:16" s="23" customFormat="1" ht="21" customHeight="1" x14ac:dyDescent="0.25">
      <c r="A62" s="1"/>
      <c r="B62" s="22"/>
      <c r="C62" s="22"/>
      <c r="D62" s="1">
        <f>COUNTA(D4:D60)</f>
        <v>46</v>
      </c>
      <c r="E62" s="121"/>
      <c r="F62" s="53"/>
      <c r="G62" s="53"/>
      <c r="H62" s="1">
        <f>COUNTA(H4:H60)</f>
        <v>44</v>
      </c>
      <c r="I62" s="121"/>
      <c r="J62" s="53"/>
      <c r="K62" s="53"/>
      <c r="L62" s="1">
        <f>COUNTA(L4:L60)</f>
        <v>43</v>
      </c>
      <c r="M62" s="121"/>
      <c r="N62" s="53"/>
      <c r="O62" s="53"/>
      <c r="P62" s="1">
        <f>COUNTA(P4:P60)</f>
        <v>42</v>
      </c>
    </row>
    <row r="63" spans="1:16" s="23" customFormat="1" ht="21" customHeight="1" x14ac:dyDescent="0.25">
      <c r="A63" s="1"/>
      <c r="B63" s="22"/>
      <c r="C63" s="22"/>
      <c r="D63" s="21"/>
      <c r="F63" s="22"/>
      <c r="G63" s="22"/>
      <c r="H63" s="21"/>
      <c r="J63" s="22"/>
      <c r="K63" s="22"/>
      <c r="L63" s="21"/>
      <c r="N63" s="22"/>
      <c r="O63" s="22"/>
      <c r="P63" s="21"/>
    </row>
  </sheetData>
  <sortState xmlns:xlrd2="http://schemas.microsoft.com/office/spreadsheetml/2017/richdata2" ref="D25:P31">
    <sortCondition ref="D25:D31"/>
  </sortState>
  <mergeCells count="9">
    <mergeCell ref="A51:A60"/>
    <mergeCell ref="A4:A15"/>
    <mergeCell ref="F1:H1"/>
    <mergeCell ref="J1:L1"/>
    <mergeCell ref="N1:P1"/>
    <mergeCell ref="B1:D1"/>
    <mergeCell ref="A1:A2"/>
    <mergeCell ref="A17:A31"/>
    <mergeCell ref="A33:A49"/>
  </mergeCells>
  <conditionalFormatting sqref="B54:C54">
    <cfRule type="cellIs" dxfId="58" priority="25" operator="equal">
      <formula>0</formula>
    </cfRule>
  </conditionalFormatting>
  <conditionalFormatting sqref="B56:C60">
    <cfRule type="cellIs" dxfId="57" priority="4" operator="equal">
      <formula>0</formula>
    </cfRule>
  </conditionalFormatting>
  <conditionalFormatting sqref="F55:G55">
    <cfRule type="cellIs" dxfId="56" priority="17" operator="equal">
      <formula>0</formula>
    </cfRule>
  </conditionalFormatting>
  <conditionalFormatting sqref="F57:G58">
    <cfRule type="cellIs" dxfId="55" priority="20" operator="equal">
      <formula>0</formula>
    </cfRule>
  </conditionalFormatting>
  <conditionalFormatting sqref="F60:G60">
    <cfRule type="cellIs" dxfId="54" priority="18" operator="equal">
      <formula>0</formula>
    </cfRule>
  </conditionalFormatting>
  <conditionalFormatting sqref="J52:K52">
    <cfRule type="cellIs" dxfId="53" priority="2" operator="equal">
      <formula>0</formula>
    </cfRule>
  </conditionalFormatting>
  <conditionalFormatting sqref="J55:K55">
    <cfRule type="cellIs" dxfId="52" priority="11" operator="equal">
      <formula>0</formula>
    </cfRule>
  </conditionalFormatting>
  <conditionalFormatting sqref="J57:K58">
    <cfRule type="cellIs" dxfId="51" priority="14" operator="equal">
      <formula>0</formula>
    </cfRule>
  </conditionalFormatting>
  <conditionalFormatting sqref="J60:K60">
    <cfRule type="cellIs" dxfId="50" priority="12" operator="equal">
      <formula>0</formula>
    </cfRule>
  </conditionalFormatting>
  <conditionalFormatting sqref="N51:O51 N53:O53">
    <cfRule type="cellIs" dxfId="49" priority="28" operator="equal">
      <formula>0</formula>
    </cfRule>
  </conditionalFormatting>
  <conditionalFormatting sqref="N55:O55">
    <cfRule type="cellIs" dxfId="48" priority="5" operator="equal">
      <formula>0</formula>
    </cfRule>
  </conditionalFormatting>
  <conditionalFormatting sqref="N57:O58">
    <cfRule type="cellIs" dxfId="47" priority="8" operator="equal">
      <formula>0</formula>
    </cfRule>
  </conditionalFormatting>
  <conditionalFormatting sqref="N60:O60">
    <cfRule type="cellIs" dxfId="46" priority="6" operator="equal">
      <formula>0</formula>
    </cfRule>
  </conditionalFormatting>
  <printOptions horizontalCentered="1"/>
  <pageMargins left="0.51181102362204722" right="0.51181102362204722" top="0.74803149606299213" bottom="0.74803149606299213" header="0.31496062992125984" footer="0.31496062992125984"/>
  <pageSetup paperSize="9" orientation="landscape" horizontalDpi="1200" verticalDpi="1200" r:id="rId1"/>
  <headerFooter>
    <oddFooter>&amp;C&amp;"Garamond,Normale"&amp;P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
  <sheetViews>
    <sheetView zoomScale="170" zoomScaleNormal="170" workbookViewId="0">
      <selection activeCell="E10" sqref="E10"/>
    </sheetView>
  </sheetViews>
  <sheetFormatPr defaultRowHeight="25.5" customHeight="1" x14ac:dyDescent="0.2"/>
  <cols>
    <col min="1" max="1" width="29.7109375" style="29" customWidth="1"/>
    <col min="2" max="2" width="16.42578125" style="29" customWidth="1"/>
    <col min="3" max="3" width="10.5703125" style="29" customWidth="1"/>
    <col min="4" max="16384" width="9.140625" style="29"/>
  </cols>
  <sheetData>
    <row r="1" spans="1:5" ht="25.5" customHeight="1" x14ac:dyDescent="0.2">
      <c r="A1" s="172" t="s">
        <v>340</v>
      </c>
      <c r="B1" s="172" t="s">
        <v>342</v>
      </c>
      <c r="C1" s="172" t="s">
        <v>341</v>
      </c>
      <c r="D1" s="29" t="s">
        <v>343</v>
      </c>
      <c r="E1" s="29" t="s">
        <v>344</v>
      </c>
    </row>
    <row r="2" spans="1:5" ht="25.5" customHeight="1" x14ac:dyDescent="0.2">
      <c r="A2" s="29" t="s">
        <v>236</v>
      </c>
      <c r="B2" s="173">
        <v>44681</v>
      </c>
      <c r="C2" s="29">
        <v>60.84</v>
      </c>
      <c r="D2" s="109">
        <f>C2*13</f>
        <v>790.92000000000007</v>
      </c>
      <c r="E2" s="109">
        <f>C2*9/12*13</f>
        <v>593.19000000000005</v>
      </c>
    </row>
    <row r="3" spans="1:5" ht="25.5" customHeight="1" x14ac:dyDescent="0.2">
      <c r="A3" s="29" t="s">
        <v>240</v>
      </c>
      <c r="B3" s="173">
        <v>44681</v>
      </c>
      <c r="C3" s="29">
        <v>60.84</v>
      </c>
      <c r="D3" s="109">
        <f t="shared" ref="D3:D5" si="0">C3*13</f>
        <v>790.92000000000007</v>
      </c>
      <c r="E3" s="109">
        <f t="shared" ref="E3" si="1">C3*9/12*13</f>
        <v>593.19000000000005</v>
      </c>
    </row>
    <row r="4" spans="1:5" ht="25.5" customHeight="1" x14ac:dyDescent="0.2">
      <c r="A4" s="29" t="s">
        <v>228</v>
      </c>
      <c r="B4" s="173">
        <v>44926</v>
      </c>
      <c r="C4" s="29">
        <v>49.32</v>
      </c>
      <c r="D4" s="109">
        <f t="shared" si="0"/>
        <v>641.16</v>
      </c>
      <c r="E4" s="109"/>
    </row>
    <row r="5" spans="1:5" ht="25.5" customHeight="1" x14ac:dyDescent="0.2">
      <c r="A5" s="29" t="s">
        <v>244</v>
      </c>
      <c r="B5" s="173">
        <v>44688</v>
      </c>
      <c r="C5" s="29">
        <v>60.84</v>
      </c>
      <c r="D5" s="109">
        <f t="shared" si="0"/>
        <v>790.92000000000007</v>
      </c>
      <c r="E5" s="109">
        <f>C5*8/12*13</f>
        <v>527.28</v>
      </c>
    </row>
    <row r="6" spans="1:5" ht="25.5" customHeight="1" x14ac:dyDescent="0.2">
      <c r="D6" s="109">
        <f>SUM(D2:D5)</f>
        <v>3013.92</v>
      </c>
      <c r="E6" s="109">
        <f>SUM(E2:E5)</f>
        <v>1713.66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topLeftCell="A6" zoomScale="150" zoomScaleNormal="150" workbookViewId="0">
      <selection activeCell="G35" sqref="G35"/>
    </sheetView>
  </sheetViews>
  <sheetFormatPr defaultRowHeight="24" customHeight="1" x14ac:dyDescent="0.2"/>
  <cols>
    <col min="1" max="3" width="9.140625" style="13"/>
    <col min="4" max="5" width="11.28515625" style="12" customWidth="1"/>
    <col min="6" max="6" width="11.28515625" style="14" customWidth="1"/>
    <col min="7" max="7" width="11.28515625" style="12" customWidth="1"/>
    <col min="8" max="16384" width="9.140625" style="13"/>
  </cols>
  <sheetData>
    <row r="1" spans="1:10" ht="38.25" customHeight="1" x14ac:dyDescent="0.2">
      <c r="A1" s="333" t="s">
        <v>56</v>
      </c>
      <c r="B1" s="333"/>
      <c r="C1" s="333"/>
      <c r="D1" s="333"/>
      <c r="E1" s="333"/>
      <c r="F1" s="333"/>
      <c r="G1" s="333"/>
    </row>
    <row r="2" spans="1:10" ht="72.75" customHeight="1" x14ac:dyDescent="0.2">
      <c r="A2" s="8" t="s">
        <v>67</v>
      </c>
      <c r="B2" s="8" t="s">
        <v>307</v>
      </c>
      <c r="C2" s="8" t="s">
        <v>47</v>
      </c>
      <c r="D2" s="19" t="s">
        <v>57</v>
      </c>
      <c r="E2" s="19" t="s">
        <v>48</v>
      </c>
      <c r="F2" s="20" t="s">
        <v>58</v>
      </c>
      <c r="G2" s="19" t="s">
        <v>51</v>
      </c>
    </row>
    <row r="3" spans="1:10" ht="24" customHeight="1" x14ac:dyDescent="0.2">
      <c r="A3" s="334" t="s">
        <v>68</v>
      </c>
      <c r="B3" s="334" t="s">
        <v>20</v>
      </c>
      <c r="C3" s="13" t="s">
        <v>20</v>
      </c>
      <c r="D3" s="12">
        <v>52</v>
      </c>
      <c r="E3" s="15"/>
      <c r="F3" s="14">
        <f>COUNTIF(Personale!G$4:G$60,C3)</f>
        <v>0</v>
      </c>
      <c r="G3" s="15"/>
      <c r="J3" s="12"/>
    </row>
    <row r="4" spans="1:10" ht="24" customHeight="1" x14ac:dyDescent="0.2">
      <c r="A4" s="333"/>
      <c r="B4" s="333"/>
      <c r="C4" s="13" t="s">
        <v>21</v>
      </c>
      <c r="D4" s="12">
        <v>52.70000000000001</v>
      </c>
      <c r="E4" s="12">
        <f>(D4-$D$3)*13</f>
        <v>9.1000000000001293</v>
      </c>
      <c r="F4" s="14">
        <f>COUNTIF(Personale!G$4:G$60,C4)</f>
        <v>5</v>
      </c>
      <c r="G4" s="12">
        <f>E4*F4</f>
        <v>45.500000000000647</v>
      </c>
      <c r="J4" s="12"/>
    </row>
    <row r="5" spans="1:10" ht="24" customHeight="1" x14ac:dyDescent="0.2">
      <c r="A5" s="333"/>
      <c r="B5" s="333"/>
      <c r="C5" s="13" t="s">
        <v>22</v>
      </c>
      <c r="D5" s="12">
        <v>53.79999999999999</v>
      </c>
      <c r="E5" s="12">
        <f>(D5-$D$3)*13</f>
        <v>23.399999999999871</v>
      </c>
      <c r="F5" s="14">
        <f>COUNTIF(Personale!G$4:G$60,C5)</f>
        <v>0</v>
      </c>
      <c r="G5" s="12">
        <f t="shared" ref="G5:G30" si="0">E5*F5</f>
        <v>0</v>
      </c>
      <c r="J5" s="12"/>
    </row>
    <row r="6" spans="1:10" ht="24" customHeight="1" x14ac:dyDescent="0.2">
      <c r="A6" s="333"/>
      <c r="B6" s="333"/>
      <c r="C6" s="13" t="s">
        <v>23</v>
      </c>
      <c r="D6" s="12">
        <v>54.79999999999999</v>
      </c>
      <c r="E6" s="12">
        <f>(D6-$D$3)*13</f>
        <v>36.399999999999871</v>
      </c>
      <c r="F6" s="14">
        <f>COUNTIF(Personale!G$4:G$60,C6)</f>
        <v>0</v>
      </c>
      <c r="G6" s="12">
        <f t="shared" si="0"/>
        <v>0</v>
      </c>
      <c r="J6" s="12"/>
    </row>
    <row r="7" spans="1:10" ht="24" customHeight="1" x14ac:dyDescent="0.2">
      <c r="A7" s="333"/>
      <c r="B7" s="333"/>
      <c r="C7" s="16" t="s">
        <v>24</v>
      </c>
      <c r="D7" s="17">
        <v>55.9</v>
      </c>
      <c r="E7" s="17">
        <f>(D7-$D$3)*13</f>
        <v>50.699999999999982</v>
      </c>
      <c r="F7" s="18">
        <f>COUNTIF(Personale!G$4:G$60,C7)</f>
        <v>4</v>
      </c>
      <c r="G7" s="17">
        <f t="shared" si="0"/>
        <v>202.79999999999993</v>
      </c>
      <c r="J7" s="12"/>
    </row>
    <row r="8" spans="1:10" ht="24" customHeight="1" x14ac:dyDescent="0.2">
      <c r="A8" s="333" t="s">
        <v>75</v>
      </c>
      <c r="B8" s="333" t="s">
        <v>26</v>
      </c>
      <c r="C8" s="13" t="s">
        <v>26</v>
      </c>
      <c r="D8" s="12">
        <v>55</v>
      </c>
      <c r="E8" s="15"/>
      <c r="F8" s="14">
        <f>COUNTIF(Personale!G$4:G$22,C8)</f>
        <v>0</v>
      </c>
      <c r="G8" s="15"/>
      <c r="J8" s="12"/>
    </row>
    <row r="9" spans="1:10" ht="24" customHeight="1" x14ac:dyDescent="0.2">
      <c r="A9" s="333"/>
      <c r="B9" s="333"/>
      <c r="C9" s="13" t="s">
        <v>27</v>
      </c>
      <c r="D9" s="12">
        <v>55.9</v>
      </c>
      <c r="E9" s="12">
        <f>(D9-$D$8)*13</f>
        <v>11.699999999999982</v>
      </c>
      <c r="F9" s="14">
        <f>COUNTIF(Personale!G$4:G$22,C9)</f>
        <v>3</v>
      </c>
      <c r="G9" s="12">
        <f t="shared" si="0"/>
        <v>35.099999999999945</v>
      </c>
      <c r="J9" s="12"/>
    </row>
    <row r="10" spans="1:10" ht="24" customHeight="1" x14ac:dyDescent="0.2">
      <c r="A10" s="333"/>
      <c r="B10" s="333"/>
      <c r="C10" s="13" t="s">
        <v>28</v>
      </c>
      <c r="D10" s="12">
        <v>58.1</v>
      </c>
      <c r="E10" s="12">
        <f t="shared" ref="E10:E14" si="1">(D10-$D$8)*13</f>
        <v>40.300000000000018</v>
      </c>
      <c r="F10" s="14">
        <f>COUNTIF(Personale!G$4:G$22,C10)</f>
        <v>0</v>
      </c>
      <c r="G10" s="12">
        <f t="shared" si="0"/>
        <v>0</v>
      </c>
      <c r="J10" s="12"/>
    </row>
    <row r="11" spans="1:10" ht="24" customHeight="1" x14ac:dyDescent="0.2">
      <c r="A11" s="333"/>
      <c r="B11" s="333"/>
      <c r="C11" s="13" t="s">
        <v>29</v>
      </c>
      <c r="D11" s="12">
        <v>59</v>
      </c>
      <c r="E11" s="12">
        <f t="shared" si="1"/>
        <v>52</v>
      </c>
      <c r="F11" s="14">
        <f>COUNTIF(Personale!G$4:G$22,C11)</f>
        <v>0</v>
      </c>
      <c r="G11" s="12">
        <f t="shared" si="0"/>
        <v>0</v>
      </c>
      <c r="J11" s="12"/>
    </row>
    <row r="12" spans="1:10" ht="24" customHeight="1" x14ac:dyDescent="0.2">
      <c r="A12" s="333"/>
      <c r="B12" s="333"/>
      <c r="C12" s="13" t="s">
        <v>30</v>
      </c>
      <c r="D12" s="12">
        <v>60</v>
      </c>
      <c r="E12" s="12">
        <f t="shared" si="1"/>
        <v>65</v>
      </c>
      <c r="F12" s="14">
        <f>COUNTIF(Personale!G$4:G$22,C12)</f>
        <v>0</v>
      </c>
      <c r="G12" s="12">
        <f t="shared" si="0"/>
        <v>0</v>
      </c>
      <c r="J12" s="12"/>
    </row>
    <row r="13" spans="1:10" ht="24" customHeight="1" x14ac:dyDescent="0.2">
      <c r="A13" s="333"/>
      <c r="B13" s="333"/>
      <c r="C13" s="13" t="s">
        <v>31</v>
      </c>
      <c r="D13" s="12">
        <v>61</v>
      </c>
      <c r="E13" s="12">
        <f t="shared" si="1"/>
        <v>78</v>
      </c>
      <c r="F13" s="14">
        <f>COUNTIF(Personale!G$4:G$22,C13)</f>
        <v>0</v>
      </c>
      <c r="G13" s="12">
        <f t="shared" si="0"/>
        <v>0</v>
      </c>
      <c r="J13" s="12"/>
    </row>
    <row r="14" spans="1:10" ht="24" customHeight="1" x14ac:dyDescent="0.2">
      <c r="A14" s="333"/>
      <c r="B14" s="335"/>
      <c r="C14" s="16" t="s">
        <v>32</v>
      </c>
      <c r="D14" s="17">
        <v>63.4</v>
      </c>
      <c r="E14" s="17">
        <f t="shared" si="1"/>
        <v>109.19999999999999</v>
      </c>
      <c r="F14" s="18">
        <f>COUNTIF(Personale!G$4:G$22,C14)</f>
        <v>2</v>
      </c>
      <c r="G14" s="17">
        <f t="shared" si="0"/>
        <v>218.39999999999998</v>
      </c>
      <c r="J14" s="12"/>
    </row>
    <row r="15" spans="1:10" ht="24" customHeight="1" x14ac:dyDescent="0.2">
      <c r="A15" s="333"/>
      <c r="B15" s="333" t="s">
        <v>28</v>
      </c>
      <c r="C15" s="13" t="s">
        <v>28</v>
      </c>
      <c r="D15" s="12">
        <v>58.1</v>
      </c>
      <c r="E15" s="15"/>
      <c r="F15" s="14">
        <f>COUNTIF(Personale!G$23:G$60,C15)</f>
        <v>0</v>
      </c>
      <c r="G15" s="12">
        <f t="shared" ref="G15:G19" si="2">E15*F15</f>
        <v>0</v>
      </c>
      <c r="J15" s="12"/>
    </row>
    <row r="16" spans="1:10" ht="24" customHeight="1" x14ac:dyDescent="0.2">
      <c r="A16" s="333"/>
      <c r="B16" s="333"/>
      <c r="C16" s="13" t="s">
        <v>29</v>
      </c>
      <c r="D16" s="12">
        <v>59</v>
      </c>
      <c r="E16" s="12">
        <f>(D16-$D$15)*13</f>
        <v>11.699999999999982</v>
      </c>
      <c r="F16" s="14">
        <f>COUNTIF(Personale!G$23:G$60,C16)</f>
        <v>6</v>
      </c>
      <c r="G16" s="12">
        <f t="shared" si="2"/>
        <v>70.199999999999889</v>
      </c>
      <c r="J16" s="12"/>
    </row>
    <row r="17" spans="1:10" ht="24" customHeight="1" x14ac:dyDescent="0.2">
      <c r="A17" s="333"/>
      <c r="B17" s="333"/>
      <c r="C17" s="13" t="s">
        <v>30</v>
      </c>
      <c r="D17" s="12">
        <v>60</v>
      </c>
      <c r="E17" s="12">
        <f>(D17-$D$15)*13</f>
        <v>24.699999999999982</v>
      </c>
      <c r="F17" s="14">
        <f>COUNTIF(Personale!G$23:G$60,C17)</f>
        <v>0</v>
      </c>
      <c r="G17" s="12">
        <f t="shared" si="2"/>
        <v>0</v>
      </c>
      <c r="J17" s="12"/>
    </row>
    <row r="18" spans="1:10" ht="24" customHeight="1" x14ac:dyDescent="0.2">
      <c r="A18" s="333"/>
      <c r="B18" s="333"/>
      <c r="C18" s="13" t="s">
        <v>31</v>
      </c>
      <c r="D18" s="12">
        <v>61</v>
      </c>
      <c r="E18" s="12">
        <f>(D18-$D$15)*13</f>
        <v>37.699999999999982</v>
      </c>
      <c r="F18" s="14">
        <f>COUNTIF(Personale!G$23:G$60,C18)</f>
        <v>0</v>
      </c>
      <c r="G18" s="12">
        <f t="shared" si="2"/>
        <v>0</v>
      </c>
      <c r="J18" s="12"/>
    </row>
    <row r="19" spans="1:10" ht="24" customHeight="1" x14ac:dyDescent="0.2">
      <c r="A19" s="333"/>
      <c r="B19" s="333"/>
      <c r="C19" s="13" t="s">
        <v>32</v>
      </c>
      <c r="D19" s="12">
        <v>63.4</v>
      </c>
      <c r="E19" s="12">
        <f>(D19-$D$15)*13</f>
        <v>68.899999999999963</v>
      </c>
      <c r="F19" s="14">
        <f>COUNTIF(Personale!G$23:G$60,C19)</f>
        <v>3</v>
      </c>
      <c r="G19" s="12">
        <f t="shared" si="2"/>
        <v>206.69999999999987</v>
      </c>
      <c r="J19" s="12"/>
    </row>
    <row r="20" spans="1:10" ht="24" customHeight="1" x14ac:dyDescent="0.2">
      <c r="A20" s="334" t="s">
        <v>55</v>
      </c>
      <c r="B20" s="334" t="s">
        <v>34</v>
      </c>
      <c r="C20" s="132" t="s">
        <v>34</v>
      </c>
      <c r="D20" s="133">
        <v>62</v>
      </c>
      <c r="E20" s="134"/>
      <c r="F20" s="135">
        <f>COUNTIF(Personale!G$4:G$60,C20)</f>
        <v>1</v>
      </c>
      <c r="G20" s="134"/>
      <c r="J20" s="12"/>
    </row>
    <row r="21" spans="1:10" ht="24" customHeight="1" x14ac:dyDescent="0.2">
      <c r="A21" s="333"/>
      <c r="B21" s="333"/>
      <c r="C21" s="13" t="s">
        <v>35</v>
      </c>
      <c r="D21" s="12">
        <v>63.5</v>
      </c>
      <c r="E21" s="12">
        <f>(D21-$D$20)*13</f>
        <v>19.5</v>
      </c>
      <c r="F21" s="14">
        <f>COUNTIF(Personale!G$4:G$60,C21)</f>
        <v>5</v>
      </c>
      <c r="G21" s="12">
        <f t="shared" si="0"/>
        <v>97.5</v>
      </c>
      <c r="J21" s="12"/>
    </row>
    <row r="22" spans="1:10" ht="24" customHeight="1" x14ac:dyDescent="0.2">
      <c r="A22" s="333"/>
      <c r="B22" s="333"/>
      <c r="C22" s="13" t="s">
        <v>36</v>
      </c>
      <c r="D22" s="12">
        <v>65.3</v>
      </c>
      <c r="E22" s="12">
        <f t="shared" ref="E22:E24" si="3">(D22-$D$20)*13</f>
        <v>42.899999999999963</v>
      </c>
      <c r="F22" s="14">
        <f>COUNTIF(Personale!G$4:G$60,C22)</f>
        <v>0</v>
      </c>
      <c r="G22" s="12">
        <f t="shared" si="0"/>
        <v>0</v>
      </c>
      <c r="J22" s="12"/>
    </row>
    <row r="23" spans="1:10" ht="24" customHeight="1" x14ac:dyDescent="0.2">
      <c r="A23" s="333"/>
      <c r="B23" s="333"/>
      <c r="C23" s="13" t="s">
        <v>37</v>
      </c>
      <c r="D23" s="12">
        <v>67.3</v>
      </c>
      <c r="E23" s="12">
        <f t="shared" si="3"/>
        <v>68.899999999999963</v>
      </c>
      <c r="F23" s="14">
        <f>COUNTIF(Personale!G$4:G$60,C23)</f>
        <v>0</v>
      </c>
      <c r="G23" s="12">
        <f t="shared" si="0"/>
        <v>0</v>
      </c>
      <c r="J23" s="12"/>
    </row>
    <row r="24" spans="1:10" ht="24" customHeight="1" x14ac:dyDescent="0.2">
      <c r="A24" s="335"/>
      <c r="B24" s="335"/>
      <c r="C24" s="16" t="s">
        <v>38</v>
      </c>
      <c r="D24" s="17">
        <v>69.8</v>
      </c>
      <c r="E24" s="17">
        <f t="shared" si="3"/>
        <v>101.39999999999996</v>
      </c>
      <c r="F24" s="18">
        <f>COUNTIF(Personale!G$4:G$60,C24)</f>
        <v>11</v>
      </c>
      <c r="G24" s="17">
        <f t="shared" si="0"/>
        <v>1115.3999999999996</v>
      </c>
      <c r="J24" s="12"/>
    </row>
    <row r="25" spans="1:10" ht="24" customHeight="1" x14ac:dyDescent="0.2">
      <c r="A25" s="333" t="s">
        <v>90</v>
      </c>
      <c r="B25" s="333" t="s">
        <v>40</v>
      </c>
      <c r="C25" s="13" t="s">
        <v>40</v>
      </c>
      <c r="D25" s="12">
        <v>67.5</v>
      </c>
      <c r="E25" s="15"/>
      <c r="F25" s="14">
        <f>COUNTIF(Personale!G$4:G$55,C25)</f>
        <v>1</v>
      </c>
      <c r="G25" s="15"/>
      <c r="J25" s="12"/>
    </row>
    <row r="26" spans="1:10" ht="24" customHeight="1" x14ac:dyDescent="0.2">
      <c r="A26" s="333"/>
      <c r="B26" s="333"/>
      <c r="C26" s="13" t="s">
        <v>41</v>
      </c>
      <c r="D26" s="12">
        <v>70.8</v>
      </c>
      <c r="E26" s="12">
        <f>(D26-$D$25)*13</f>
        <v>42.899999999999963</v>
      </c>
      <c r="F26" s="14">
        <f>COUNTIF(Personale!G$4:G$55,C26)</f>
        <v>0</v>
      </c>
      <c r="G26" s="12">
        <f t="shared" si="0"/>
        <v>0</v>
      </c>
      <c r="J26" s="12"/>
    </row>
    <row r="27" spans="1:10" ht="24" customHeight="1" x14ac:dyDescent="0.2">
      <c r="A27" s="333"/>
      <c r="B27" s="333"/>
      <c r="C27" s="13" t="s">
        <v>42</v>
      </c>
      <c r="D27" s="12">
        <v>77.599999999999994</v>
      </c>
      <c r="E27" s="12">
        <f>(D27-$D$25)*13</f>
        <v>131.29999999999993</v>
      </c>
      <c r="F27" s="14">
        <f>COUNTIF(Personale!G$4:G$55,C27)</f>
        <v>0</v>
      </c>
      <c r="G27" s="12">
        <f t="shared" si="0"/>
        <v>0</v>
      </c>
      <c r="J27" s="12"/>
    </row>
    <row r="28" spans="1:10" ht="24" customHeight="1" x14ac:dyDescent="0.2">
      <c r="A28" s="333"/>
      <c r="B28" s="333"/>
      <c r="C28" s="13" t="s">
        <v>43</v>
      </c>
      <c r="D28" s="12">
        <v>80.900000000000006</v>
      </c>
      <c r="E28" s="12">
        <f>(D28-$D$25)*13</f>
        <v>174.20000000000007</v>
      </c>
      <c r="F28" s="14">
        <f>COUNTIF(Personale!G$4:G$55,C28)</f>
        <v>0</v>
      </c>
      <c r="G28" s="12">
        <f t="shared" si="0"/>
        <v>0</v>
      </c>
    </row>
    <row r="29" spans="1:10" ht="24" customHeight="1" x14ac:dyDescent="0.2">
      <c r="A29" s="333"/>
      <c r="B29" s="333"/>
      <c r="C29" s="13" t="s">
        <v>44</v>
      </c>
      <c r="D29" s="12">
        <v>84.5</v>
      </c>
      <c r="E29" s="12">
        <f>(D29-$D$25)*13</f>
        <v>221</v>
      </c>
      <c r="F29" s="14">
        <f>COUNTIF(Personale!G$4:G$55,C29)</f>
        <v>0</v>
      </c>
      <c r="G29" s="12">
        <f t="shared" si="0"/>
        <v>0</v>
      </c>
    </row>
    <row r="30" spans="1:10" ht="24" customHeight="1" x14ac:dyDescent="0.2">
      <c r="A30" s="333"/>
      <c r="B30" s="335"/>
      <c r="C30" s="16" t="s">
        <v>45</v>
      </c>
      <c r="D30" s="17">
        <v>90.3</v>
      </c>
      <c r="E30" s="17">
        <f>(D30-$D$25)*13</f>
        <v>296.39999999999998</v>
      </c>
      <c r="F30" s="18">
        <f>COUNTIF(Personale!G$4:G$55,C30)</f>
        <v>0</v>
      </c>
      <c r="G30" s="17">
        <f t="shared" si="0"/>
        <v>0</v>
      </c>
    </row>
    <row r="31" spans="1:10" ht="24" customHeight="1" x14ac:dyDescent="0.2">
      <c r="A31" s="333"/>
      <c r="B31" s="333" t="s">
        <v>42</v>
      </c>
      <c r="C31" s="13" t="s">
        <v>42</v>
      </c>
      <c r="D31" s="12">
        <v>77.599999999999994</v>
      </c>
      <c r="E31" s="15"/>
      <c r="F31" s="14">
        <f>COUNTIF(Personale!G$56:G$60,C31)</f>
        <v>0</v>
      </c>
      <c r="G31" s="12">
        <f t="shared" ref="G31:G34" si="4">E31*F31</f>
        <v>0</v>
      </c>
      <c r="J31" s="12"/>
    </row>
    <row r="32" spans="1:10" ht="24" customHeight="1" x14ac:dyDescent="0.2">
      <c r="A32" s="333"/>
      <c r="B32" s="333"/>
      <c r="C32" s="13" t="s">
        <v>43</v>
      </c>
      <c r="D32" s="12">
        <v>80.900000000000006</v>
      </c>
      <c r="E32" s="12">
        <f>(D32-$D$21)*13</f>
        <v>226.20000000000007</v>
      </c>
      <c r="F32" s="14">
        <f>COUNTIF(Personale!G$56:G$60,C32)</f>
        <v>1</v>
      </c>
      <c r="G32" s="12">
        <f t="shared" si="4"/>
        <v>226.20000000000007</v>
      </c>
    </row>
    <row r="33" spans="1:7" ht="24" customHeight="1" x14ac:dyDescent="0.2">
      <c r="A33" s="333"/>
      <c r="B33" s="333"/>
      <c r="C33" s="13" t="s">
        <v>44</v>
      </c>
      <c r="D33" s="12">
        <v>84.5</v>
      </c>
      <c r="E33" s="12">
        <f t="shared" ref="E33:E34" si="5">(D33-$D$21)*13</f>
        <v>273</v>
      </c>
      <c r="F33" s="14">
        <f>COUNTIF(Personale!G$56:G$60,C33)</f>
        <v>0</v>
      </c>
      <c r="G33" s="12">
        <f t="shared" si="4"/>
        <v>0</v>
      </c>
    </row>
    <row r="34" spans="1:7" ht="24" customHeight="1" x14ac:dyDescent="0.2">
      <c r="A34" s="335"/>
      <c r="B34" s="335"/>
      <c r="C34" s="16" t="s">
        <v>45</v>
      </c>
      <c r="D34" s="17">
        <v>90.3</v>
      </c>
      <c r="E34" s="17">
        <f t="shared" si="5"/>
        <v>348.4</v>
      </c>
      <c r="F34" s="18">
        <f>COUNTIF(Personale!G$56:G$60,C34)</f>
        <v>2</v>
      </c>
      <c r="G34" s="17">
        <f t="shared" si="4"/>
        <v>696.8</v>
      </c>
    </row>
    <row r="35" spans="1:7" ht="24" customHeight="1" x14ac:dyDescent="0.2">
      <c r="F35" s="14">
        <f>SUM(F3:F34)</f>
        <v>44</v>
      </c>
      <c r="G35" s="12">
        <f>SUM(G3:G30)</f>
        <v>1991.6</v>
      </c>
    </row>
  </sheetData>
  <mergeCells count="11">
    <mergeCell ref="A20:A24"/>
    <mergeCell ref="B20:B24"/>
    <mergeCell ref="A25:A34"/>
    <mergeCell ref="B25:B30"/>
    <mergeCell ref="B31:B34"/>
    <mergeCell ref="A1:G1"/>
    <mergeCell ref="B3:B7"/>
    <mergeCell ref="A3:A7"/>
    <mergeCell ref="B8:B14"/>
    <mergeCell ref="B15:B19"/>
    <mergeCell ref="A8:A19"/>
  </mergeCells>
  <conditionalFormatting sqref="F3:G34">
    <cfRule type="cellIs" dxfId="45" priority="1" operator="equal">
      <formula>0</formula>
    </cfRule>
  </conditionalFormatting>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1"/>
  <sheetViews>
    <sheetView topLeftCell="A22" zoomScale="130" zoomScaleNormal="130" workbookViewId="0">
      <selection activeCell="E42" sqref="E42"/>
    </sheetView>
  </sheetViews>
  <sheetFormatPr defaultRowHeight="24" customHeight="1" x14ac:dyDescent="0.2"/>
  <cols>
    <col min="1" max="2" width="9.140625" style="13"/>
    <col min="3" max="4" width="11.28515625" style="12" customWidth="1"/>
    <col min="5" max="5" width="11.28515625" style="14" customWidth="1"/>
    <col min="6" max="6" width="11.28515625" style="12" customWidth="1"/>
    <col min="7" max="16384" width="9.140625" style="13"/>
  </cols>
  <sheetData>
    <row r="1" spans="1:6" ht="24" customHeight="1" x14ac:dyDescent="0.2">
      <c r="B1" s="333" t="s">
        <v>52</v>
      </c>
      <c r="C1" s="333"/>
      <c r="D1" s="333"/>
      <c r="E1" s="333"/>
      <c r="F1" s="333"/>
    </row>
    <row r="2" spans="1:6" ht="72.75" customHeight="1" x14ac:dyDescent="0.2">
      <c r="A2" s="8" t="s">
        <v>65</v>
      </c>
      <c r="B2" s="8" t="s">
        <v>308</v>
      </c>
      <c r="C2" s="19" t="s">
        <v>49</v>
      </c>
      <c r="D2" s="19" t="s">
        <v>48</v>
      </c>
      <c r="E2" s="20" t="s">
        <v>50</v>
      </c>
      <c r="F2" s="19" t="s">
        <v>51</v>
      </c>
    </row>
    <row r="3" spans="1:6" ht="24" customHeight="1" x14ac:dyDescent="0.2">
      <c r="A3" s="334" t="s">
        <v>20</v>
      </c>
      <c r="B3" s="132" t="s">
        <v>20</v>
      </c>
      <c r="C3" s="133">
        <v>26.1</v>
      </c>
      <c r="D3" s="134"/>
      <c r="E3" s="135">
        <f>COUNTIF(Personale!O$4:O$60,B3)</f>
        <v>3</v>
      </c>
      <c r="F3" s="134"/>
    </row>
    <row r="4" spans="1:6" ht="24" customHeight="1" x14ac:dyDescent="0.2">
      <c r="A4" s="333"/>
      <c r="B4" s="13" t="s">
        <v>21</v>
      </c>
      <c r="C4" s="12">
        <v>56.9</v>
      </c>
      <c r="D4" s="12">
        <f>(C4-$C$3)*13</f>
        <v>400.4</v>
      </c>
      <c r="E4" s="14">
        <f>COUNTIF(Personale!O$4:O$60,B4)</f>
        <v>3</v>
      </c>
      <c r="F4" s="12">
        <f>D4*E4</f>
        <v>1201.1999999999998</v>
      </c>
    </row>
    <row r="5" spans="1:6" ht="24" customHeight="1" x14ac:dyDescent="0.2">
      <c r="A5" s="333"/>
      <c r="B5" s="13" t="s">
        <v>22</v>
      </c>
      <c r="C5" s="12">
        <v>58.1</v>
      </c>
      <c r="D5" s="12">
        <f t="shared" ref="D5:D8" si="0">(C5-$C$3)*13</f>
        <v>416</v>
      </c>
      <c r="E5" s="14">
        <f>COUNTIF(Personale!O$4:O$60,B5)</f>
        <v>2</v>
      </c>
      <c r="F5" s="12">
        <f t="shared" ref="F5:F35" si="1">D5*E5</f>
        <v>832</v>
      </c>
    </row>
    <row r="6" spans="1:6" ht="24" customHeight="1" x14ac:dyDescent="0.2">
      <c r="A6" s="333"/>
      <c r="B6" s="13" t="s">
        <v>23</v>
      </c>
      <c r="C6" s="12">
        <v>59.1</v>
      </c>
      <c r="D6" s="12">
        <f t="shared" si="0"/>
        <v>429</v>
      </c>
      <c r="E6" s="14">
        <f>COUNTIF(Personale!O$4:O$60,B6)</f>
        <v>0</v>
      </c>
      <c r="F6" s="12">
        <f t="shared" si="1"/>
        <v>0</v>
      </c>
    </row>
    <row r="7" spans="1:6" ht="24" customHeight="1" x14ac:dyDescent="0.2">
      <c r="A7" s="333"/>
      <c r="B7" s="13" t="s">
        <v>24</v>
      </c>
      <c r="C7" s="12">
        <v>60.4</v>
      </c>
      <c r="D7" s="12">
        <f t="shared" si="0"/>
        <v>445.9</v>
      </c>
      <c r="E7" s="14">
        <f>COUNTIF(Personale!O$4:O$60,B7)</f>
        <v>0</v>
      </c>
      <c r="F7" s="12">
        <f t="shared" si="1"/>
        <v>0</v>
      </c>
    </row>
    <row r="8" spans="1:6" ht="24" customHeight="1" x14ac:dyDescent="0.2">
      <c r="A8" s="335"/>
      <c r="B8" s="16" t="s">
        <v>25</v>
      </c>
      <c r="C8" s="17">
        <v>84.58</v>
      </c>
      <c r="D8" s="17">
        <f t="shared" si="0"/>
        <v>760.24</v>
      </c>
      <c r="E8" s="18">
        <f>COUNTIF(Personale!O$4:O$60,B8)</f>
        <v>2</v>
      </c>
      <c r="F8" s="17">
        <f t="shared" si="1"/>
        <v>1520.48</v>
      </c>
    </row>
    <row r="9" spans="1:6" ht="24" customHeight="1" x14ac:dyDescent="0.2">
      <c r="A9" s="334" t="s">
        <v>26</v>
      </c>
      <c r="B9" s="132" t="s">
        <v>26</v>
      </c>
      <c r="C9" s="133">
        <v>59.3</v>
      </c>
      <c r="D9" s="134"/>
      <c r="E9" s="135">
        <f>COUNTIF(Personale!O$4:O$22,B9)</f>
        <v>1</v>
      </c>
      <c r="F9" s="134"/>
    </row>
    <row r="10" spans="1:6" ht="24" customHeight="1" x14ac:dyDescent="0.2">
      <c r="A10" s="333"/>
      <c r="B10" s="13" t="s">
        <v>27</v>
      </c>
      <c r="C10" s="12">
        <v>60.3</v>
      </c>
      <c r="D10" s="12">
        <f>(C10-$C$9)*13</f>
        <v>13</v>
      </c>
      <c r="E10" s="14">
        <f>COUNTIF(Personale!O$4:O$22,B10)</f>
        <v>0</v>
      </c>
      <c r="F10" s="12">
        <f t="shared" si="1"/>
        <v>0</v>
      </c>
    </row>
    <row r="11" spans="1:6" ht="24" customHeight="1" x14ac:dyDescent="0.2">
      <c r="A11" s="333"/>
      <c r="B11" s="13" t="s">
        <v>28</v>
      </c>
      <c r="C11" s="12">
        <v>62.7</v>
      </c>
      <c r="D11" s="12">
        <f t="shared" ref="D11:D16" si="2">(C11-$C$9)*13</f>
        <v>44.200000000000074</v>
      </c>
      <c r="E11" s="14">
        <f>COUNTIF(Personale!O$4:O$22,B11)</f>
        <v>3</v>
      </c>
      <c r="F11" s="12">
        <f t="shared" si="1"/>
        <v>132.60000000000022</v>
      </c>
    </row>
    <row r="12" spans="1:6" ht="24" customHeight="1" x14ac:dyDescent="0.2">
      <c r="A12" s="333"/>
      <c r="B12" s="13" t="s">
        <v>29</v>
      </c>
      <c r="C12" s="12">
        <v>63.7</v>
      </c>
      <c r="D12" s="12">
        <f t="shared" si="2"/>
        <v>57.200000000000074</v>
      </c>
      <c r="E12" s="14">
        <f>COUNTIF(Personale!O$4:O$22,B12)</f>
        <v>0</v>
      </c>
      <c r="F12" s="12">
        <f t="shared" si="1"/>
        <v>0</v>
      </c>
    </row>
    <row r="13" spans="1:6" ht="24" customHeight="1" x14ac:dyDescent="0.2">
      <c r="A13" s="333"/>
      <c r="B13" s="13" t="s">
        <v>30</v>
      </c>
      <c r="C13" s="12">
        <v>64.7</v>
      </c>
      <c r="D13" s="12">
        <f t="shared" si="2"/>
        <v>70.200000000000074</v>
      </c>
      <c r="E13" s="14">
        <f>COUNTIF(Personale!O$4:O$22,B13)</f>
        <v>0</v>
      </c>
      <c r="F13" s="12">
        <f t="shared" si="1"/>
        <v>0</v>
      </c>
    </row>
    <row r="14" spans="1:6" ht="24" customHeight="1" x14ac:dyDescent="0.2">
      <c r="A14" s="333"/>
      <c r="B14" s="13" t="s">
        <v>31</v>
      </c>
      <c r="C14" s="12">
        <v>65</v>
      </c>
      <c r="D14" s="12">
        <f t="shared" si="2"/>
        <v>74.100000000000037</v>
      </c>
      <c r="E14" s="14">
        <f>COUNTIF(Personale!O$4:O$22,B14)</f>
        <v>0</v>
      </c>
      <c r="F14" s="12">
        <f t="shared" si="1"/>
        <v>0</v>
      </c>
    </row>
    <row r="15" spans="1:6" ht="24" customHeight="1" x14ac:dyDescent="0.2">
      <c r="A15" s="333"/>
      <c r="B15" s="13" t="s">
        <v>32</v>
      </c>
      <c r="C15" s="12">
        <v>68.400000000000006</v>
      </c>
      <c r="D15" s="12">
        <f t="shared" si="2"/>
        <v>118.30000000000011</v>
      </c>
      <c r="E15" s="14">
        <f>COUNTIF(Personale!O$4:O$22,B15)</f>
        <v>0</v>
      </c>
      <c r="F15" s="12">
        <f t="shared" si="1"/>
        <v>0</v>
      </c>
    </row>
    <row r="16" spans="1:6" ht="24" customHeight="1" x14ac:dyDescent="0.2">
      <c r="A16" s="335"/>
      <c r="B16" s="16" t="s">
        <v>33</v>
      </c>
      <c r="C16" s="17">
        <v>89.51</v>
      </c>
      <c r="D16" s="17">
        <f t="shared" si="2"/>
        <v>392.73000000000013</v>
      </c>
      <c r="E16" s="18">
        <f>COUNTIF(Personale!O$4:O$22,B16)</f>
        <v>2</v>
      </c>
      <c r="F16" s="17">
        <f t="shared" si="1"/>
        <v>785.46000000000026</v>
      </c>
    </row>
    <row r="17" spans="1:6" ht="24" customHeight="1" x14ac:dyDescent="0.2">
      <c r="A17" s="334" t="s">
        <v>28</v>
      </c>
      <c r="B17" s="132" t="s">
        <v>28</v>
      </c>
      <c r="C17" s="133">
        <v>62.7</v>
      </c>
      <c r="D17" s="134"/>
      <c r="E17" s="135">
        <f>COUNTIF(Personale!O$23:O$60,B17)</f>
        <v>0</v>
      </c>
      <c r="F17" s="134">
        <f t="shared" ref="F17:F22" si="3">D17*E17</f>
        <v>0</v>
      </c>
    </row>
    <row r="18" spans="1:6" ht="24" customHeight="1" x14ac:dyDescent="0.2">
      <c r="A18" s="333"/>
      <c r="B18" s="13" t="s">
        <v>29</v>
      </c>
      <c r="C18" s="12">
        <v>63.7</v>
      </c>
      <c r="D18" s="12">
        <f>(C18-$C$17)*13</f>
        <v>13</v>
      </c>
      <c r="E18" s="14">
        <f>COUNTIF(Personale!O$23:O$60,B18)</f>
        <v>2</v>
      </c>
      <c r="F18" s="12">
        <f t="shared" si="3"/>
        <v>26</v>
      </c>
    </row>
    <row r="19" spans="1:6" ht="24" customHeight="1" x14ac:dyDescent="0.2">
      <c r="A19" s="333"/>
      <c r="B19" s="13" t="s">
        <v>30</v>
      </c>
      <c r="C19" s="12">
        <v>64.7</v>
      </c>
      <c r="D19" s="12">
        <f t="shared" ref="D19:D22" si="4">(C19-$C$17)*13</f>
        <v>26</v>
      </c>
      <c r="E19" s="14">
        <f>COUNTIF(Personale!O$23:O$60,B19)</f>
        <v>4</v>
      </c>
      <c r="F19" s="12">
        <f t="shared" si="3"/>
        <v>104</v>
      </c>
    </row>
    <row r="20" spans="1:6" ht="24" customHeight="1" x14ac:dyDescent="0.2">
      <c r="A20" s="333"/>
      <c r="B20" s="13" t="s">
        <v>31</v>
      </c>
      <c r="C20" s="12">
        <v>65</v>
      </c>
      <c r="D20" s="12">
        <f t="shared" si="4"/>
        <v>29.899999999999963</v>
      </c>
      <c r="E20" s="14">
        <f>COUNTIF(Personale!O$23:O$60,B20)</f>
        <v>0</v>
      </c>
      <c r="F20" s="12">
        <f t="shared" si="3"/>
        <v>0</v>
      </c>
    </row>
    <row r="21" spans="1:6" ht="24" customHeight="1" x14ac:dyDescent="0.2">
      <c r="A21" s="333"/>
      <c r="B21" s="13" t="s">
        <v>32</v>
      </c>
      <c r="C21" s="12">
        <v>68.400000000000006</v>
      </c>
      <c r="D21" s="12">
        <f t="shared" si="4"/>
        <v>74.100000000000037</v>
      </c>
      <c r="E21" s="14">
        <f>COUNTIF(Personale!O$23:O$60,B21)</f>
        <v>1</v>
      </c>
      <c r="F21" s="12">
        <f t="shared" si="3"/>
        <v>74.100000000000037</v>
      </c>
    </row>
    <row r="22" spans="1:6" ht="24" customHeight="1" x14ac:dyDescent="0.2">
      <c r="A22" s="335"/>
      <c r="B22" s="16" t="s">
        <v>33</v>
      </c>
      <c r="C22" s="17">
        <v>89.51</v>
      </c>
      <c r="D22" s="17">
        <f t="shared" si="4"/>
        <v>348.53000000000003</v>
      </c>
      <c r="E22" s="18">
        <f>COUNTIF(Personale!O$23:O$60,B22)</f>
        <v>0</v>
      </c>
      <c r="F22" s="17">
        <f t="shared" si="3"/>
        <v>0</v>
      </c>
    </row>
    <row r="23" spans="1:6" ht="24" customHeight="1" x14ac:dyDescent="0.2">
      <c r="A23" s="334" t="s">
        <v>34</v>
      </c>
      <c r="B23" s="132" t="s">
        <v>34</v>
      </c>
      <c r="C23" s="133">
        <v>66.900000000000006</v>
      </c>
      <c r="D23" s="134"/>
      <c r="E23" s="135">
        <f>COUNTIF(Personale!O$4:O$60,B23)</f>
        <v>0</v>
      </c>
      <c r="F23" s="134"/>
    </row>
    <row r="24" spans="1:6" ht="24" customHeight="1" x14ac:dyDescent="0.2">
      <c r="A24" s="333"/>
      <c r="B24" s="13" t="s">
        <v>35</v>
      </c>
      <c r="C24" s="12">
        <v>68.5</v>
      </c>
      <c r="D24" s="12">
        <f>(C24-$C$23)*13</f>
        <v>20.799999999999926</v>
      </c>
      <c r="E24" s="14">
        <f>COUNTIF(Personale!O$4:O$60,B24)</f>
        <v>2</v>
      </c>
      <c r="F24" s="12">
        <f t="shared" si="1"/>
        <v>41.599999999999852</v>
      </c>
    </row>
    <row r="25" spans="1:6" ht="24" customHeight="1" x14ac:dyDescent="0.2">
      <c r="A25" s="333"/>
      <c r="B25" s="13" t="s">
        <v>36</v>
      </c>
      <c r="C25" s="12">
        <v>70.5</v>
      </c>
      <c r="D25" s="12">
        <f t="shared" ref="D25:D28" si="5">(C25-$C$23)*13</f>
        <v>46.799999999999926</v>
      </c>
      <c r="E25" s="14">
        <f>COUNTIF(Personale!O$4:O$60,B25)</f>
        <v>3</v>
      </c>
      <c r="F25" s="12">
        <f t="shared" si="1"/>
        <v>140.39999999999978</v>
      </c>
    </row>
    <row r="26" spans="1:6" ht="24" customHeight="1" x14ac:dyDescent="0.2">
      <c r="A26" s="333"/>
      <c r="B26" s="13" t="s">
        <v>37</v>
      </c>
      <c r="C26" s="12">
        <v>72.7</v>
      </c>
      <c r="D26" s="12">
        <f t="shared" si="5"/>
        <v>75.399999999999963</v>
      </c>
      <c r="E26" s="14">
        <f>COUNTIF(Personale!O$4:O$60,B26)</f>
        <v>0</v>
      </c>
      <c r="F26" s="12">
        <f t="shared" si="1"/>
        <v>0</v>
      </c>
    </row>
    <row r="27" spans="1:6" ht="24" customHeight="1" x14ac:dyDescent="0.2">
      <c r="A27" s="333"/>
      <c r="B27" s="13" t="s">
        <v>38</v>
      </c>
      <c r="C27" s="12">
        <v>75.400000000000006</v>
      </c>
      <c r="D27" s="12">
        <f t="shared" si="5"/>
        <v>110.5</v>
      </c>
      <c r="E27" s="14">
        <f>COUNTIF(Personale!O$4:O$60,B27)</f>
        <v>0</v>
      </c>
      <c r="F27" s="12">
        <f t="shared" si="1"/>
        <v>0</v>
      </c>
    </row>
    <row r="28" spans="1:6" ht="24" customHeight="1" x14ac:dyDescent="0.2">
      <c r="A28" s="335"/>
      <c r="B28" s="16" t="s">
        <v>39</v>
      </c>
      <c r="C28" s="17">
        <v>92.65</v>
      </c>
      <c r="D28" s="17">
        <f t="shared" si="5"/>
        <v>334.75</v>
      </c>
      <c r="E28" s="18">
        <f>COUNTIF(Personale!O$4:O$60,B28)</f>
        <v>8</v>
      </c>
      <c r="F28" s="17">
        <f t="shared" si="1"/>
        <v>2678</v>
      </c>
    </row>
    <row r="29" spans="1:6" ht="24" customHeight="1" x14ac:dyDescent="0.2">
      <c r="A29" s="13" t="s">
        <v>40</v>
      </c>
      <c r="B29" s="13" t="s">
        <v>40</v>
      </c>
      <c r="C29" s="12">
        <v>72.8</v>
      </c>
      <c r="D29" s="15"/>
      <c r="E29" s="14">
        <f>COUNTIF(Personale!O$4:O$55,B29)</f>
        <v>2</v>
      </c>
      <c r="F29" s="15"/>
    </row>
    <row r="30" spans="1:6" ht="24" customHeight="1" x14ac:dyDescent="0.2">
      <c r="A30" s="13" t="s">
        <v>41</v>
      </c>
      <c r="B30" s="13" t="s">
        <v>41</v>
      </c>
      <c r="C30" s="12">
        <v>76.400000000000006</v>
      </c>
      <c r="D30" s="12">
        <f>(C30-$C$29)*13</f>
        <v>46.800000000000111</v>
      </c>
      <c r="E30" s="14">
        <f>COUNTIF(Personale!O$4:O$55,B30)</f>
        <v>1</v>
      </c>
      <c r="F30" s="12">
        <f t="shared" si="1"/>
        <v>46.800000000000111</v>
      </c>
    </row>
    <row r="31" spans="1:6" ht="24" customHeight="1" x14ac:dyDescent="0.2">
      <c r="A31" s="13" t="s">
        <v>42</v>
      </c>
      <c r="B31" s="13" t="s">
        <v>42</v>
      </c>
      <c r="C31" s="12">
        <v>83.8</v>
      </c>
      <c r="D31" s="12">
        <f t="shared" ref="D31:D35" si="6">(C31-$C$29)*13</f>
        <v>143</v>
      </c>
      <c r="E31" s="14">
        <f>COUNTIF(Personale!O$4:O$55,B31)</f>
        <v>0</v>
      </c>
      <c r="F31" s="12">
        <f t="shared" si="1"/>
        <v>0</v>
      </c>
    </row>
    <row r="32" spans="1:6" ht="24" customHeight="1" x14ac:dyDescent="0.2">
      <c r="A32" s="13" t="s">
        <v>43</v>
      </c>
      <c r="B32" s="13" t="s">
        <v>43</v>
      </c>
      <c r="C32" s="12">
        <v>87.3</v>
      </c>
      <c r="D32" s="12">
        <f t="shared" si="6"/>
        <v>188.5</v>
      </c>
      <c r="E32" s="14">
        <f>COUNTIF(Personale!O$4:O$55,B32)</f>
        <v>0</v>
      </c>
      <c r="F32" s="12">
        <f t="shared" si="1"/>
        <v>0</v>
      </c>
    </row>
    <row r="33" spans="1:6" ht="24" customHeight="1" x14ac:dyDescent="0.2">
      <c r="A33" s="13" t="s">
        <v>44</v>
      </c>
      <c r="B33" s="13" t="s">
        <v>44</v>
      </c>
      <c r="C33" s="12">
        <v>91.2</v>
      </c>
      <c r="D33" s="12">
        <f t="shared" si="6"/>
        <v>239.20000000000007</v>
      </c>
      <c r="E33" s="14">
        <f>COUNTIF(Personale!O$4:O$55,B33)</f>
        <v>0</v>
      </c>
      <c r="F33" s="12">
        <f t="shared" si="1"/>
        <v>0</v>
      </c>
    </row>
    <row r="34" spans="1:6" ht="24" customHeight="1" x14ac:dyDescent="0.2">
      <c r="A34" s="13" t="s">
        <v>45</v>
      </c>
      <c r="B34" s="13" t="s">
        <v>45</v>
      </c>
      <c r="C34" s="12">
        <v>97.5</v>
      </c>
      <c r="D34" s="12">
        <f t="shared" si="6"/>
        <v>321.10000000000002</v>
      </c>
      <c r="E34" s="14">
        <f>COUNTIF(Personale!O$4:O$55,B34)</f>
        <v>0</v>
      </c>
      <c r="F34" s="12">
        <f t="shared" si="1"/>
        <v>0</v>
      </c>
    </row>
    <row r="35" spans="1:6" ht="24" customHeight="1" x14ac:dyDescent="0.2">
      <c r="A35" s="16" t="s">
        <v>46</v>
      </c>
      <c r="B35" s="16" t="s">
        <v>46</v>
      </c>
      <c r="C35" s="17">
        <v>104.28</v>
      </c>
      <c r="D35" s="17">
        <f t="shared" si="6"/>
        <v>409.24000000000007</v>
      </c>
      <c r="E35" s="18">
        <f>COUNTIF(Personale!O$4:O$55,B35)</f>
        <v>0</v>
      </c>
      <c r="F35" s="17">
        <f t="shared" si="1"/>
        <v>0</v>
      </c>
    </row>
    <row r="36" spans="1:6" ht="24" customHeight="1" x14ac:dyDescent="0.2">
      <c r="A36" s="13" t="s">
        <v>42</v>
      </c>
      <c r="B36" s="13" t="s">
        <v>42</v>
      </c>
      <c r="C36" s="12">
        <v>83.8</v>
      </c>
      <c r="D36" s="15"/>
      <c r="E36" s="14">
        <f>COUNTIF(Personale!O$56:O$60,B36)</f>
        <v>0</v>
      </c>
      <c r="F36" s="15"/>
    </row>
    <row r="37" spans="1:6" ht="24" customHeight="1" x14ac:dyDescent="0.2">
      <c r="A37" s="13" t="s">
        <v>43</v>
      </c>
      <c r="B37" s="13" t="s">
        <v>43</v>
      </c>
      <c r="C37" s="12">
        <v>87.3</v>
      </c>
      <c r="D37" s="12">
        <f>(C37-$C$36)*13</f>
        <v>45.5</v>
      </c>
      <c r="E37" s="14">
        <f>COUNTIF(Personale!O$56:O$60,B37)</f>
        <v>1</v>
      </c>
      <c r="F37" s="12">
        <f t="shared" ref="F37:F40" si="7">D37*E37</f>
        <v>45.5</v>
      </c>
    </row>
    <row r="38" spans="1:6" ht="24" customHeight="1" x14ac:dyDescent="0.2">
      <c r="A38" s="13" t="s">
        <v>44</v>
      </c>
      <c r="B38" s="13" t="s">
        <v>44</v>
      </c>
      <c r="C38" s="12">
        <v>91.2</v>
      </c>
      <c r="D38" s="12">
        <f t="shared" ref="D38:D40" si="8">(C38-$C$36)*13</f>
        <v>96.200000000000074</v>
      </c>
      <c r="E38" s="14">
        <f>COUNTIF(Personale!O$56:O$60,B38)</f>
        <v>0</v>
      </c>
      <c r="F38" s="12">
        <f t="shared" si="7"/>
        <v>0</v>
      </c>
    </row>
    <row r="39" spans="1:6" ht="24" customHeight="1" x14ac:dyDescent="0.2">
      <c r="A39" s="13" t="s">
        <v>45</v>
      </c>
      <c r="B39" s="13" t="s">
        <v>45</v>
      </c>
      <c r="C39" s="12">
        <v>97.5</v>
      </c>
      <c r="D39" s="12">
        <f t="shared" si="8"/>
        <v>178.10000000000002</v>
      </c>
      <c r="E39" s="14">
        <f>COUNTIF(Personale!O$56:O$60,B39)</f>
        <v>0</v>
      </c>
      <c r="F39" s="12">
        <f t="shared" si="7"/>
        <v>0</v>
      </c>
    </row>
    <row r="40" spans="1:6" ht="24" customHeight="1" x14ac:dyDescent="0.2">
      <c r="A40" s="16" t="s">
        <v>46</v>
      </c>
      <c r="B40" s="16" t="s">
        <v>46</v>
      </c>
      <c r="C40" s="17">
        <v>104.28</v>
      </c>
      <c r="D40" s="17">
        <f t="shared" si="8"/>
        <v>266.24000000000007</v>
      </c>
      <c r="E40" s="18">
        <f>COUNTIF(Personale!O$56:O$60,B40)</f>
        <v>2</v>
      </c>
      <c r="F40" s="17">
        <f t="shared" si="7"/>
        <v>532.48000000000013</v>
      </c>
    </row>
    <row r="41" spans="1:6" ht="24" customHeight="1" x14ac:dyDescent="0.2">
      <c r="E41" s="14">
        <f>SUM(E3:E40)</f>
        <v>42</v>
      </c>
      <c r="F41" s="12">
        <f>SUM(F3:F35)</f>
        <v>7582.64</v>
      </c>
    </row>
  </sheetData>
  <mergeCells count="5">
    <mergeCell ref="B1:F1"/>
    <mergeCell ref="A3:A8"/>
    <mergeCell ref="A17:A22"/>
    <mergeCell ref="A9:A16"/>
    <mergeCell ref="A23:A28"/>
  </mergeCells>
  <conditionalFormatting sqref="E3:F40">
    <cfRule type="cellIs" dxfId="44" priority="1" operator="equal">
      <formula>0</formula>
    </cfRule>
  </conditionalFormatting>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
  <sheetViews>
    <sheetView zoomScale="130" zoomScaleNormal="130" workbookViewId="0">
      <selection activeCell="C4" sqref="C4"/>
    </sheetView>
  </sheetViews>
  <sheetFormatPr defaultRowHeight="24" customHeight="1" x14ac:dyDescent="0.2"/>
  <cols>
    <col min="1" max="1" width="9.140625" style="13"/>
    <col min="2" max="2" width="11.28515625" style="12" customWidth="1"/>
    <col min="3" max="3" width="11.28515625" style="14" customWidth="1"/>
    <col min="4" max="4" width="11.28515625" style="12" customWidth="1"/>
    <col min="5" max="16384" width="9.140625" style="13"/>
  </cols>
  <sheetData>
    <row r="1" spans="1:4" ht="24" customHeight="1" x14ac:dyDescent="0.2">
      <c r="A1" s="333" t="s">
        <v>64</v>
      </c>
      <c r="B1" s="333"/>
      <c r="C1" s="333"/>
      <c r="D1" s="333"/>
    </row>
    <row r="2" spans="1:4" ht="72.75" customHeight="1" x14ac:dyDescent="0.2">
      <c r="A2" s="8" t="s">
        <v>65</v>
      </c>
      <c r="B2" s="19" t="s">
        <v>103</v>
      </c>
      <c r="C2" s="20" t="s">
        <v>50</v>
      </c>
      <c r="D2" s="19" t="s">
        <v>51</v>
      </c>
    </row>
    <row r="3" spans="1:4" ht="24" customHeight="1" x14ac:dyDescent="0.2">
      <c r="A3" s="13" t="s">
        <v>26</v>
      </c>
      <c r="B3" s="15"/>
      <c r="D3" s="15"/>
    </row>
    <row r="4" spans="1:4" ht="24" customHeight="1" x14ac:dyDescent="0.2">
      <c r="A4" s="13" t="s">
        <v>28</v>
      </c>
      <c r="B4" s="12">
        <f>'Tabelle CCNL'!H11/12*13</f>
        <v>1159.740833333336</v>
      </c>
      <c r="C4" s="42">
        <f>COUNTIF(Personale!N4:N60,A4)</f>
        <v>7</v>
      </c>
      <c r="D4" s="12">
        <f>B4*C4</f>
        <v>8118.1858333333521</v>
      </c>
    </row>
    <row r="5" spans="1:4" ht="24" customHeight="1" x14ac:dyDescent="0.2">
      <c r="A5" s="13" t="s">
        <v>40</v>
      </c>
      <c r="B5" s="15"/>
      <c r="C5" s="42"/>
      <c r="D5" s="15"/>
    </row>
    <row r="6" spans="1:4" ht="24" customHeight="1" x14ac:dyDescent="0.2">
      <c r="A6" s="13" t="s">
        <v>42</v>
      </c>
      <c r="B6" s="12">
        <f>'Tabelle CCNL'!H25/12*13</f>
        <v>3735.7558333333363</v>
      </c>
      <c r="C6" s="42">
        <f>COUNTIF(Personale!N4:N60,A6)</f>
        <v>3</v>
      </c>
      <c r="D6" s="12">
        <f>B6*C6</f>
        <v>11207.267500000009</v>
      </c>
    </row>
    <row r="8" spans="1:4" ht="24" customHeight="1" x14ac:dyDescent="0.2">
      <c r="C8" s="14" t="s">
        <v>104</v>
      </c>
      <c r="D8" s="12">
        <f>D4+D6</f>
        <v>19325.45333333336</v>
      </c>
    </row>
  </sheetData>
  <mergeCells count="1">
    <mergeCell ref="A1:D1"/>
  </mergeCells>
  <conditionalFormatting sqref="C3:D3 D4:D6">
    <cfRule type="cellIs" dxfId="43" priority="2" operator="equal">
      <formula>0</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
  <sheetViews>
    <sheetView zoomScale="160" zoomScaleNormal="160" workbookViewId="0">
      <selection activeCell="A3" sqref="A3"/>
    </sheetView>
  </sheetViews>
  <sheetFormatPr defaultRowHeight="12.75" x14ac:dyDescent="0.2"/>
  <cols>
    <col min="1" max="1" width="33.140625" style="21" customWidth="1"/>
    <col min="2" max="8" width="11.85546875" style="167" customWidth="1"/>
    <col min="9" max="16384" width="9.140625" style="21"/>
  </cols>
  <sheetData>
    <row r="1" spans="1:8" s="13" customFormat="1" ht="115.5" customHeight="1" x14ac:dyDescent="0.2">
      <c r="A1" s="16" t="s">
        <v>140</v>
      </c>
      <c r="B1" s="170" t="s">
        <v>311</v>
      </c>
      <c r="C1" s="170" t="s">
        <v>141</v>
      </c>
      <c r="D1" s="170" t="s">
        <v>312</v>
      </c>
      <c r="E1" s="170" t="s">
        <v>313</v>
      </c>
      <c r="F1" s="170" t="s">
        <v>314</v>
      </c>
      <c r="G1" s="170" t="s">
        <v>315</v>
      </c>
      <c r="H1" s="18" t="s">
        <v>142</v>
      </c>
    </row>
    <row r="2" spans="1:8" ht="21" customHeight="1" x14ac:dyDescent="0.2">
      <c r="A2" s="21" t="s">
        <v>309</v>
      </c>
      <c r="B2" s="167">
        <f>B4-B3</f>
        <v>891607</v>
      </c>
      <c r="C2" s="167">
        <f t="shared" ref="C2:D2" si="0">C4-C3</f>
        <v>5129</v>
      </c>
      <c r="D2" s="167">
        <f t="shared" si="0"/>
        <v>0</v>
      </c>
      <c r="E2" s="167">
        <f t="shared" ref="E2" si="1">E4-E3</f>
        <v>77680</v>
      </c>
      <c r="F2" s="167">
        <f t="shared" ref="F2" si="2">F4-F3</f>
        <v>16731</v>
      </c>
      <c r="G2" s="167">
        <f t="shared" ref="G2" si="3">G4-G3</f>
        <v>3244</v>
      </c>
      <c r="H2" s="167">
        <f>SUM(B2:F2)-G2</f>
        <v>987903</v>
      </c>
    </row>
    <row r="3" spans="1:8" ht="21" customHeight="1" x14ac:dyDescent="0.2">
      <c r="A3" s="61" t="s">
        <v>310</v>
      </c>
      <c r="B3" s="168">
        <v>39979</v>
      </c>
      <c r="C3" s="168">
        <v>0</v>
      </c>
      <c r="D3" s="168">
        <v>0</v>
      </c>
      <c r="E3" s="168">
        <v>5266</v>
      </c>
      <c r="F3" s="168">
        <v>0</v>
      </c>
      <c r="G3" s="168">
        <v>0</v>
      </c>
      <c r="H3" s="168">
        <f>SUM(B3:F3)-G3</f>
        <v>45245</v>
      </c>
    </row>
    <row r="4" spans="1:8" ht="21" customHeight="1" x14ac:dyDescent="0.2">
      <c r="A4" s="21" t="s">
        <v>142</v>
      </c>
      <c r="B4" s="167">
        <v>931586</v>
      </c>
      <c r="C4" s="167">
        <v>5129</v>
      </c>
      <c r="E4" s="167">
        <v>82946</v>
      </c>
      <c r="F4" s="167">
        <v>16731</v>
      </c>
      <c r="G4" s="167">
        <v>3244</v>
      </c>
      <c r="H4" s="167">
        <f>SUM(H2:H3)</f>
        <v>1033148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4"/>
  <sheetViews>
    <sheetView topLeftCell="H1" zoomScale="130" zoomScaleNormal="130" workbookViewId="0">
      <selection activeCell="H2" sqref="A2:XFD4"/>
    </sheetView>
  </sheetViews>
  <sheetFormatPr defaultRowHeight="12.75" x14ac:dyDescent="0.2"/>
  <cols>
    <col min="1" max="1" width="31.140625" style="21" customWidth="1"/>
    <col min="2" max="2" width="10.140625" style="21" bestFit="1" customWidth="1"/>
    <col min="3" max="20" width="9.140625" style="21"/>
    <col min="21" max="21" width="9.140625" style="21" customWidth="1"/>
    <col min="22" max="22" width="9.140625" style="21"/>
    <col min="23" max="23" width="10.140625" style="21" bestFit="1" customWidth="1"/>
    <col min="24" max="16384" width="9.140625" style="21"/>
  </cols>
  <sheetData>
    <row r="1" spans="1:23" s="13" customFormat="1" ht="123.75" customHeight="1" x14ac:dyDescent="0.2">
      <c r="A1" s="16" t="s">
        <v>140</v>
      </c>
      <c r="B1" s="169" t="s">
        <v>316</v>
      </c>
      <c r="C1" s="169" t="s">
        <v>317</v>
      </c>
      <c r="D1" s="169" t="s">
        <v>318</v>
      </c>
      <c r="E1" s="169" t="s">
        <v>319</v>
      </c>
      <c r="F1" s="169" t="s">
        <v>320</v>
      </c>
      <c r="G1" s="169" t="s">
        <v>321</v>
      </c>
      <c r="H1" s="169" t="s">
        <v>322</v>
      </c>
      <c r="I1" s="169" t="s">
        <v>323</v>
      </c>
      <c r="J1" s="169" t="s">
        <v>324</v>
      </c>
      <c r="K1" s="169" t="s">
        <v>325</v>
      </c>
      <c r="L1" s="169" t="s">
        <v>326</v>
      </c>
      <c r="M1" s="169" t="s">
        <v>327</v>
      </c>
      <c r="N1" s="169" t="s">
        <v>328</v>
      </c>
      <c r="O1" s="169" t="s">
        <v>329</v>
      </c>
      <c r="P1" s="169" t="s">
        <v>330</v>
      </c>
      <c r="Q1" s="169" t="s">
        <v>331</v>
      </c>
      <c r="R1" s="169" t="s">
        <v>332</v>
      </c>
      <c r="S1" s="169" t="s">
        <v>333</v>
      </c>
      <c r="T1" s="169" t="s">
        <v>336</v>
      </c>
      <c r="U1" s="169" t="s">
        <v>334</v>
      </c>
      <c r="V1" s="169" t="s">
        <v>335</v>
      </c>
      <c r="W1" s="16" t="s">
        <v>142</v>
      </c>
    </row>
    <row r="2" spans="1:23" ht="28.5" customHeight="1" x14ac:dyDescent="0.2">
      <c r="A2" s="21" t="s">
        <v>309</v>
      </c>
      <c r="B2" s="167">
        <f>B4-B3</f>
        <v>2726</v>
      </c>
      <c r="C2" s="167">
        <f t="shared" ref="C2:P2" si="0">C4-C3</f>
        <v>8966</v>
      </c>
      <c r="D2" s="167">
        <f t="shared" si="0"/>
        <v>0</v>
      </c>
      <c r="E2" s="167">
        <f t="shared" si="0"/>
        <v>33609</v>
      </c>
      <c r="F2" s="167">
        <f t="shared" si="0"/>
        <v>9684</v>
      </c>
      <c r="G2" s="167">
        <f t="shared" si="0"/>
        <v>21462</v>
      </c>
      <c r="H2" s="167">
        <f t="shared" si="0"/>
        <v>400</v>
      </c>
      <c r="I2" s="167">
        <f t="shared" si="0"/>
        <v>0</v>
      </c>
      <c r="J2" s="167">
        <f t="shared" si="0"/>
        <v>0</v>
      </c>
      <c r="K2" s="167">
        <f t="shared" si="0"/>
        <v>40353</v>
      </c>
      <c r="L2" s="167">
        <f t="shared" si="0"/>
        <v>51682</v>
      </c>
      <c r="M2" s="167">
        <f t="shared" si="0"/>
        <v>83139</v>
      </c>
      <c r="N2" s="167">
        <f t="shared" si="0"/>
        <v>0</v>
      </c>
      <c r="O2" s="167">
        <f t="shared" si="0"/>
        <v>0</v>
      </c>
      <c r="P2" s="167">
        <f t="shared" si="0"/>
        <v>14200</v>
      </c>
      <c r="Q2" s="167">
        <f t="shared" ref="Q2" si="1">Q4-Q3</f>
        <v>0</v>
      </c>
      <c r="R2" s="167">
        <f t="shared" ref="R2" si="2">R4-R3</f>
        <v>8924</v>
      </c>
      <c r="S2" s="167">
        <f t="shared" ref="S2:T2" si="3">S4-S3</f>
        <v>0</v>
      </c>
      <c r="T2" s="167">
        <f t="shared" si="3"/>
        <v>0</v>
      </c>
      <c r="U2" s="167">
        <f t="shared" ref="U2" si="4">U4-U3</f>
        <v>22419</v>
      </c>
      <c r="V2" s="167">
        <f t="shared" ref="V2" si="5">V4-V3</f>
        <v>19988</v>
      </c>
      <c r="W2" s="167">
        <f>SUM(B2:V2)</f>
        <v>317552</v>
      </c>
    </row>
    <row r="3" spans="1:23" ht="28.5" customHeight="1" x14ac:dyDescent="0.2">
      <c r="A3" s="61" t="s">
        <v>310</v>
      </c>
      <c r="B3" s="168">
        <v>242</v>
      </c>
      <c r="C3" s="168">
        <v>0</v>
      </c>
      <c r="D3" s="168">
        <v>0</v>
      </c>
      <c r="E3" s="168">
        <v>22967</v>
      </c>
      <c r="F3" s="168">
        <v>5916</v>
      </c>
      <c r="G3" s="168">
        <v>0</v>
      </c>
      <c r="H3" s="168">
        <v>0</v>
      </c>
      <c r="I3" s="168">
        <v>0</v>
      </c>
      <c r="J3" s="168">
        <v>0</v>
      </c>
      <c r="K3" s="168">
        <v>0</v>
      </c>
      <c r="L3" s="168">
        <v>0</v>
      </c>
      <c r="M3" s="168">
        <v>0</v>
      </c>
      <c r="N3" s="168">
        <v>0</v>
      </c>
      <c r="O3" s="168">
        <v>10348</v>
      </c>
      <c r="P3" s="168">
        <v>0</v>
      </c>
      <c r="Q3" s="168">
        <v>0</v>
      </c>
      <c r="R3" s="168">
        <v>0</v>
      </c>
      <c r="S3" s="168">
        <v>0</v>
      </c>
      <c r="T3" s="168">
        <v>0</v>
      </c>
      <c r="U3" s="168">
        <v>0</v>
      </c>
      <c r="V3" s="168">
        <v>0</v>
      </c>
      <c r="W3" s="168">
        <f>SUM(B3:V3)</f>
        <v>39473</v>
      </c>
    </row>
    <row r="4" spans="1:23" ht="28.5" customHeight="1" x14ac:dyDescent="0.2">
      <c r="A4" s="21" t="s">
        <v>142</v>
      </c>
      <c r="B4" s="167">
        <v>2968</v>
      </c>
      <c r="C4" s="167">
        <v>8966</v>
      </c>
      <c r="D4" s="167"/>
      <c r="E4" s="167">
        <v>56576</v>
      </c>
      <c r="F4" s="167">
        <v>15600</v>
      </c>
      <c r="G4" s="167">
        <v>21462</v>
      </c>
      <c r="H4" s="167">
        <v>400</v>
      </c>
      <c r="I4" s="167"/>
      <c r="J4" s="167"/>
      <c r="K4" s="167">
        <v>40353</v>
      </c>
      <c r="L4" s="167">
        <v>51682</v>
      </c>
      <c r="M4" s="167">
        <v>83139</v>
      </c>
      <c r="N4" s="167">
        <v>0</v>
      </c>
      <c r="O4" s="167">
        <v>10348</v>
      </c>
      <c r="P4" s="167">
        <v>14200</v>
      </c>
      <c r="Q4" s="167">
        <v>0</v>
      </c>
      <c r="R4" s="167">
        <v>8924</v>
      </c>
      <c r="S4" s="167">
        <v>0</v>
      </c>
      <c r="T4" s="167">
        <v>0</v>
      </c>
      <c r="U4" s="167">
        <v>22419</v>
      </c>
      <c r="V4" s="167">
        <v>19988</v>
      </c>
      <c r="W4" s="167">
        <f>SUM(B4:V4)</f>
        <v>357025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3</vt:i4>
      </vt:variant>
    </vt:vector>
  </HeadingPairs>
  <TitlesOfParts>
    <vt:vector size="17" baseType="lpstr">
      <vt:lpstr>Utilizzo Fondo 2022</vt:lpstr>
      <vt:lpstr>Tabelle CCNL</vt:lpstr>
      <vt:lpstr>Personale</vt:lpstr>
      <vt:lpstr>RIA</vt:lpstr>
      <vt:lpstr>Differenziali 2018</vt:lpstr>
      <vt:lpstr>Differenziali 2021</vt:lpstr>
      <vt:lpstr>Differenziali B3-D3</vt:lpstr>
      <vt:lpstr>MS 2018 T12</vt:lpstr>
      <vt:lpstr>MS 2018 T13</vt:lpstr>
      <vt:lpstr>Tabelle</vt:lpstr>
      <vt:lpstr>Stipendi</vt:lpstr>
      <vt:lpstr>PO</vt:lpstr>
      <vt:lpstr>Variazione personale</vt:lpstr>
      <vt:lpstr>Fondo 2023</vt:lpstr>
      <vt:lpstr>Personale!Titoli_stampa</vt:lpstr>
      <vt:lpstr>'Utilizzo Fondo 2022'!Titoli_stampa</vt:lpstr>
      <vt:lpstr>'Variazione personale'!Titoli_stampa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2024-04-16T08:19:03Z</cp:lastPrinted>
  <dcterms:created xsi:type="dcterms:W3CDTF">2014-12-12T18:36:12Z</dcterms:created>
  <dcterms:modified xsi:type="dcterms:W3CDTF">2024-04-16T08:43:34Z</dcterms:modified>
</cp:coreProperties>
</file>